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Denne_projektmappe" autoCompressPictures="0" defaultThemeVersion="124226"/>
  <mc:AlternateContent xmlns:mc="http://schemas.openxmlformats.org/markup-compatibility/2006">
    <mc:Choice Requires="x15">
      <x15ac:absPath xmlns:x15ac="http://schemas.microsoft.com/office/spreadsheetml/2010/11/ac" url="C:\Users\b030595\Desktop\"/>
    </mc:Choice>
  </mc:AlternateContent>
  <xr:revisionPtr revIDLastSave="0" documentId="8_{4ED8466C-5A12-444E-B9C6-A97B2412FED5}" xr6:coauthVersionLast="45" xr6:coauthVersionMax="45" xr10:uidLastSave="{00000000-0000-0000-0000-000000000000}"/>
  <workbookProtection workbookAlgorithmName="SHA-512" workbookHashValue="1uirJ143lmlqGQv/9AWn2g9o/cfISmYwjcNsV6S9un0n0yDjafvh819YCMyjnUxYQPv3rphoJijl07hCPPCdfw==" workbookSaltValue="GgqfEgmygnFVdwQYWyAfuA==" workbookSpinCount="100000" lockStructure="1"/>
  <bookViews>
    <workbookView xWindow="0" yWindow="0" windowWidth="29040" windowHeight="15600" firstSheet="2" activeTab="2" xr2:uid="{00000000-000D-0000-FFFF-FFFF00000000}"/>
  </bookViews>
  <sheets>
    <sheet name="Diplom" sheetId="16" state="hidden" r:id="rId1"/>
    <sheet name="Instrukser" sheetId="12" state="hidden" r:id="rId2"/>
    <sheet name="Effektmåling" sheetId="1" r:id="rId3"/>
    <sheet name="Egne Materialer" sheetId="8" r:id="rId4"/>
    <sheet name="DB materialer" sheetId="4" r:id="rId5"/>
    <sheet name="DB energi" sheetId="6" r:id="rId6"/>
    <sheet name="Dropdowns" sheetId="3" state="hidden" r:id="rId7"/>
    <sheet name="Processrelaterede udledninger" sheetId="10" state="hidden" r:id="rId8"/>
    <sheet name="Kilder" sheetId="5" r:id="rId9"/>
    <sheet name="Enhedskonvertering" sheetId="7" r:id="rId10"/>
  </sheets>
  <definedNames>
    <definedName name="dropdown_aendring_bortskaffelse">Dropdowns!$L$3:$L$9</definedName>
    <definedName name="dropdown_beregning">Dropdowns!$F$3:$F$4</definedName>
    <definedName name="dropdown_energi">Dropdowns!$H$3:$H$35</definedName>
    <definedName name="dropdown_land">Dropdowns!$B$3:$B$22</definedName>
    <definedName name="dropdown_materialer">Dropdowns!$D$3:$D$54</definedName>
    <definedName name="dropdown_medregn">Dropdowns!$N$3:$N$4</definedName>
    <definedName name="dropdown_aar">Dropdowns!$J$3:$J$9</definedName>
    <definedName name="_xlnm.Print_Area" localSheetId="0">Diplom!$A$1:$U$108</definedName>
    <definedName name="_xlnm.Print_Area" localSheetId="2">Effektmåling!$A$1:$T$241</definedName>
    <definedName name="_xlnm.Print_Area" localSheetId="1">Instrukser!$A$1:$C$158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8" i="4" l="1"/>
  <c r="R69" i="4"/>
  <c r="R70" i="4"/>
  <c r="R71" i="4"/>
  <c r="R72" i="4"/>
  <c r="R73" i="4"/>
  <c r="R74" i="4"/>
  <c r="R76" i="4"/>
  <c r="R77" i="4"/>
  <c r="R78" i="4"/>
  <c r="R79" i="4"/>
  <c r="R81" i="4"/>
  <c r="R82" i="4"/>
  <c r="R83" i="4"/>
  <c r="R84" i="4"/>
  <c r="R85" i="4"/>
  <c r="R86" i="4"/>
  <c r="R87" i="4"/>
  <c r="R88" i="4"/>
  <c r="R89" i="4"/>
  <c r="R90" i="4"/>
  <c r="R92" i="4"/>
  <c r="R93" i="4"/>
  <c r="R94" i="4"/>
  <c r="R95" i="4"/>
  <c r="R96" i="4"/>
  <c r="R97" i="4"/>
  <c r="R98" i="4"/>
  <c r="R99" i="4"/>
  <c r="R100" i="4"/>
  <c r="R101" i="4"/>
  <c r="R103" i="4"/>
  <c r="R104" i="4"/>
  <c r="R105" i="4"/>
  <c r="R106" i="4"/>
  <c r="R107" i="4"/>
  <c r="R108" i="4"/>
  <c r="R109" i="4"/>
  <c r="R110" i="4"/>
  <c r="R111" i="4"/>
  <c r="R112" i="4"/>
  <c r="P68" i="4"/>
  <c r="P69" i="4"/>
  <c r="P70" i="4"/>
  <c r="P71" i="4"/>
  <c r="P72" i="4"/>
  <c r="P73" i="4"/>
  <c r="P74" i="4"/>
  <c r="P76" i="4"/>
  <c r="P77" i="4"/>
  <c r="P78" i="4"/>
  <c r="P79" i="4"/>
  <c r="P81" i="4"/>
  <c r="P82" i="4"/>
  <c r="P83" i="4"/>
  <c r="P84" i="4"/>
  <c r="P85" i="4"/>
  <c r="P86" i="4"/>
  <c r="P87" i="4"/>
  <c r="P88" i="4"/>
  <c r="P89" i="4"/>
  <c r="P90" i="4"/>
  <c r="P92" i="4"/>
  <c r="P93" i="4"/>
  <c r="P94" i="4"/>
  <c r="P95" i="4"/>
  <c r="P96" i="4"/>
  <c r="P97" i="4"/>
  <c r="P98" i="4"/>
  <c r="P99" i="4"/>
  <c r="P100" i="4"/>
  <c r="P101" i="4"/>
  <c r="P103" i="4"/>
  <c r="P104" i="4"/>
  <c r="P105" i="4"/>
  <c r="P106" i="4"/>
  <c r="P107" i="4"/>
  <c r="P108" i="4"/>
  <c r="P109" i="4"/>
  <c r="P110" i="4"/>
  <c r="P111" i="4"/>
  <c r="P112" i="4"/>
  <c r="R67" i="4"/>
  <c r="P67" i="4"/>
  <c r="P144" i="1" l="1"/>
  <c r="Q145" i="1"/>
  <c r="P146" i="1"/>
  <c r="P147" i="1"/>
  <c r="P148" i="1"/>
  <c r="P149" i="1" l="1"/>
  <c r="Q201" i="1" s="1"/>
  <c r="J179" i="1"/>
  <c r="J180" i="1"/>
  <c r="J181" i="1"/>
  <c r="J182" i="1"/>
  <c r="J178" i="1"/>
  <c r="T25" i="4" l="1"/>
  <c r="C64" i="6"/>
  <c r="C66" i="6"/>
  <c r="I42" i="6"/>
  <c r="I44" i="6"/>
  <c r="J44" i="6" s="1"/>
  <c r="I45" i="6"/>
  <c r="J45" i="6" s="1"/>
  <c r="I46" i="6"/>
  <c r="J46" i="6" s="1"/>
  <c r="I47" i="6"/>
  <c r="J47" i="6" s="1"/>
  <c r="I48" i="6"/>
  <c r="J48" i="6" s="1"/>
  <c r="I49" i="6"/>
  <c r="J49" i="6" s="1"/>
  <c r="I50" i="6"/>
  <c r="J50" i="6" s="1"/>
  <c r="I51" i="6"/>
  <c r="J51" i="6" s="1"/>
  <c r="I52" i="6"/>
  <c r="J52" i="6" s="1"/>
  <c r="I53" i="6"/>
  <c r="J53" i="6" s="1"/>
  <c r="I54" i="6"/>
  <c r="J54" i="6" s="1"/>
  <c r="I55" i="6"/>
  <c r="J55" i="6" s="1"/>
  <c r="I56" i="6"/>
  <c r="J56" i="6" s="1"/>
  <c r="I58" i="6"/>
  <c r="J58" i="6" s="1"/>
  <c r="I59" i="6"/>
  <c r="J59" i="6" s="1"/>
  <c r="I60" i="6"/>
  <c r="J60" i="6" s="1"/>
  <c r="G143" i="1"/>
  <c r="J145" i="1"/>
  <c r="J146" i="1"/>
  <c r="J147" i="1"/>
  <c r="J148" i="1"/>
  <c r="C122" i="1"/>
  <c r="J144" i="1"/>
  <c r="L88" i="1"/>
  <c r="L89" i="1"/>
  <c r="L92" i="1"/>
  <c r="L93" i="1"/>
  <c r="L94" i="1"/>
  <c r="L95" i="1"/>
  <c r="L96" i="1"/>
  <c r="L97" i="1"/>
  <c r="L98" i="1"/>
  <c r="L99" i="1"/>
  <c r="L100" i="1"/>
  <c r="L101" i="1"/>
  <c r="L102" i="1"/>
  <c r="L105" i="1"/>
  <c r="L106" i="1"/>
  <c r="L107" i="1"/>
  <c r="L108" i="1"/>
  <c r="L109" i="1"/>
  <c r="L110" i="1"/>
  <c r="P72" i="1"/>
  <c r="P73" i="1"/>
  <c r="P74" i="1"/>
  <c r="P75" i="1"/>
  <c r="P71" i="1"/>
  <c r="G70" i="1"/>
  <c r="J71" i="1" s="1"/>
  <c r="I55" i="1"/>
  <c r="I54" i="1"/>
  <c r="I56" i="1"/>
  <c r="I57" i="1"/>
  <c r="I53" i="1"/>
  <c r="AO121" i="4"/>
  <c r="AQ149" i="4" s="1"/>
  <c r="J164" i="1"/>
  <c r="BK129" i="4"/>
  <c r="BJ129" i="4"/>
  <c r="AO122" i="4"/>
  <c r="AQ150" i="4" s="1"/>
  <c r="J165" i="1"/>
  <c r="BK130" i="4"/>
  <c r="BJ130" i="4"/>
  <c r="AO123" i="4"/>
  <c r="AQ151" i="4" s="1"/>
  <c r="J166" i="1"/>
  <c r="BK131" i="4"/>
  <c r="BJ131" i="4"/>
  <c r="AO124" i="4"/>
  <c r="AQ152" i="4" s="1"/>
  <c r="J167" i="1"/>
  <c r="AN132" i="4" s="1"/>
  <c r="BI132" i="4" s="1"/>
  <c r="BK132" i="4"/>
  <c r="BJ132" i="4"/>
  <c r="BK128" i="4"/>
  <c r="AO120" i="4"/>
  <c r="AQ148" i="4" s="1"/>
  <c r="J163" i="1"/>
  <c r="AN120" i="4" s="1"/>
  <c r="BJ128" i="4"/>
  <c r="C119" i="4"/>
  <c r="C121" i="4"/>
  <c r="AP129" i="4"/>
  <c r="AO129" i="4"/>
  <c r="AP130" i="4"/>
  <c r="AO130" i="4"/>
  <c r="AP131" i="4"/>
  <c r="AO131" i="4"/>
  <c r="AP132" i="4"/>
  <c r="AO132" i="4"/>
  <c r="AP128" i="4"/>
  <c r="AO128" i="4"/>
  <c r="AP120" i="4"/>
  <c r="AP121" i="4"/>
  <c r="AP122" i="4"/>
  <c r="AQ122" i="4" s="1"/>
  <c r="AP123" i="4"/>
  <c r="AP124" i="4"/>
  <c r="AT101" i="4"/>
  <c r="AU101" i="4"/>
  <c r="AV101" i="4"/>
  <c r="AW101" i="4"/>
  <c r="AX101" i="4"/>
  <c r="AY101" i="4"/>
  <c r="H101" i="4"/>
  <c r="O101" i="4"/>
  <c r="V41" i="4"/>
  <c r="W41" i="4" s="1"/>
  <c r="BP41" i="4"/>
  <c r="AH120" i="4"/>
  <c r="AJ148" i="4" s="1"/>
  <c r="AH148" i="4"/>
  <c r="AH149" i="4"/>
  <c r="AH150" i="4"/>
  <c r="AH151" i="4"/>
  <c r="AH152" i="4"/>
  <c r="AH121" i="4"/>
  <c r="AJ149" i="4" s="1"/>
  <c r="AH122" i="4"/>
  <c r="AH123" i="4"/>
  <c r="AH124" i="4"/>
  <c r="AJ152" i="4" s="1"/>
  <c r="AG120" i="4"/>
  <c r="AG137" i="4" s="1"/>
  <c r="AO148" i="4"/>
  <c r="AO149" i="4"/>
  <c r="AO150" i="4"/>
  <c r="AO151" i="4"/>
  <c r="AO152" i="4"/>
  <c r="AN121" i="4"/>
  <c r="AN122" i="4"/>
  <c r="BI122" i="4" s="1"/>
  <c r="BI139" i="4" s="1"/>
  <c r="AN123" i="4"/>
  <c r="BI123" i="4" s="1"/>
  <c r="BI140" i="4" s="1"/>
  <c r="V7" i="4"/>
  <c r="W7" i="4" s="1"/>
  <c r="I128" i="1"/>
  <c r="BP7" i="4"/>
  <c r="V8" i="4"/>
  <c r="I129" i="1"/>
  <c r="BP8" i="4"/>
  <c r="V9" i="4"/>
  <c r="W9" i="4" s="1"/>
  <c r="I130" i="1"/>
  <c r="BP9" i="4"/>
  <c r="V10" i="4"/>
  <c r="W10" i="4" s="1"/>
  <c r="I131" i="1"/>
  <c r="BP10" i="4"/>
  <c r="V11" i="4"/>
  <c r="W11" i="4" s="1"/>
  <c r="I132" i="1"/>
  <c r="BP11" i="4"/>
  <c r="V12" i="4"/>
  <c r="W12" i="4" s="1"/>
  <c r="BP12" i="4"/>
  <c r="V13" i="4"/>
  <c r="W13" i="4" s="1"/>
  <c r="BP13" i="4"/>
  <c r="V14" i="4"/>
  <c r="W14" i="4" s="1"/>
  <c r="BP14" i="4"/>
  <c r="V16" i="4"/>
  <c r="W16" i="4" s="1"/>
  <c r="BP16" i="4"/>
  <c r="V17" i="4"/>
  <c r="W17" i="4" s="1"/>
  <c r="BP17" i="4"/>
  <c r="V18" i="4"/>
  <c r="W18" i="4" s="1"/>
  <c r="BP18" i="4"/>
  <c r="V19" i="4"/>
  <c r="W19" i="4" s="1"/>
  <c r="BP19" i="4"/>
  <c r="V21" i="4"/>
  <c r="W21" i="4" s="1"/>
  <c r="BP21" i="4"/>
  <c r="V22" i="4"/>
  <c r="W22" i="4" s="1"/>
  <c r="BP22" i="4"/>
  <c r="V23" i="4"/>
  <c r="W23" i="4" s="1"/>
  <c r="BP23" i="4"/>
  <c r="V24" i="4"/>
  <c r="W24" i="4" s="1"/>
  <c r="BP24" i="4"/>
  <c r="V25" i="4"/>
  <c r="W25" i="4" s="1"/>
  <c r="BP25" i="4"/>
  <c r="V26" i="4"/>
  <c r="W26" i="4" s="1"/>
  <c r="BP26" i="4"/>
  <c r="V27" i="4"/>
  <c r="W27" i="4" s="1"/>
  <c r="BP27" i="4"/>
  <c r="V28" i="4"/>
  <c r="W28" i="4" s="1"/>
  <c r="BP28" i="4"/>
  <c r="V29" i="4"/>
  <c r="W29" i="4" s="1"/>
  <c r="BP29" i="4"/>
  <c r="V30" i="4"/>
  <c r="W30" i="4" s="1"/>
  <c r="BP30" i="4"/>
  <c r="V32" i="4"/>
  <c r="W32" i="4" s="1"/>
  <c r="BP32" i="4"/>
  <c r="V33" i="4"/>
  <c r="W33" i="4" s="1"/>
  <c r="BP33" i="4"/>
  <c r="V34" i="4"/>
  <c r="W34" i="4" s="1"/>
  <c r="BP34" i="4"/>
  <c r="V35" i="4"/>
  <c r="W35" i="4" s="1"/>
  <c r="BP35" i="4"/>
  <c r="V36" i="4"/>
  <c r="W36" i="4" s="1"/>
  <c r="BP36" i="4"/>
  <c r="V37" i="4"/>
  <c r="W37" i="4" s="1"/>
  <c r="BP37" i="4"/>
  <c r="V38" i="4"/>
  <c r="W38" i="4" s="1"/>
  <c r="BP38" i="4"/>
  <c r="V39" i="4"/>
  <c r="W39" i="4" s="1"/>
  <c r="BP39" i="4"/>
  <c r="V40" i="4"/>
  <c r="W40" i="4" s="1"/>
  <c r="BP40" i="4"/>
  <c r="V43" i="4"/>
  <c r="W43" i="4" s="1"/>
  <c r="BP43" i="4"/>
  <c r="V44" i="4"/>
  <c r="W44" i="4" s="1"/>
  <c r="BP44" i="4"/>
  <c r="V45" i="4"/>
  <c r="W45" i="4" s="1"/>
  <c r="BP45" i="4"/>
  <c r="V46" i="4"/>
  <c r="W46" i="4" s="1"/>
  <c r="BP46" i="4"/>
  <c r="V47" i="4"/>
  <c r="W47" i="4" s="1"/>
  <c r="BP47" i="4"/>
  <c r="V48" i="4"/>
  <c r="W48" i="4" s="1"/>
  <c r="BP48" i="4"/>
  <c r="V49" i="4"/>
  <c r="W49" i="4" s="1"/>
  <c r="BP49" i="4"/>
  <c r="V50" i="4"/>
  <c r="W50" i="4" s="1"/>
  <c r="BP50" i="4"/>
  <c r="V51" i="4"/>
  <c r="W51" i="4" s="1"/>
  <c r="BP51" i="4"/>
  <c r="V52" i="4"/>
  <c r="W52" i="4" s="1"/>
  <c r="BP52" i="4"/>
  <c r="D52" i="3"/>
  <c r="B54" i="4" s="1"/>
  <c r="BP54" i="4" s="1"/>
  <c r="D53" i="3"/>
  <c r="B55" i="4" s="1"/>
  <c r="V55" i="4" s="1"/>
  <c r="W55" i="4" s="1"/>
  <c r="D54" i="3"/>
  <c r="B56" i="4" s="1"/>
  <c r="BP56" i="4" s="1"/>
  <c r="AW41" i="4"/>
  <c r="AT41" i="4"/>
  <c r="AU41" i="4"/>
  <c r="AV41" i="4"/>
  <c r="AX41" i="4"/>
  <c r="AY41" i="4"/>
  <c r="O41" i="4"/>
  <c r="P41" i="4"/>
  <c r="Q41" i="4"/>
  <c r="R41" i="4"/>
  <c r="S41" i="4"/>
  <c r="T41"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D54" i="4"/>
  <c r="D55" i="4"/>
  <c r="D56" i="4"/>
  <c r="G42" i="6"/>
  <c r="AG36" i="6"/>
  <c r="AI36" i="6"/>
  <c r="AI35" i="6"/>
  <c r="AJ36" i="6"/>
  <c r="AJ35" i="6"/>
  <c r="G7" i="6"/>
  <c r="AI14" i="6"/>
  <c r="AI25" i="6"/>
  <c r="J87" i="1"/>
  <c r="J88" i="1"/>
  <c r="J89" i="1"/>
  <c r="J90" i="1"/>
  <c r="J91" i="1"/>
  <c r="J92" i="1"/>
  <c r="J93" i="1"/>
  <c r="J94" i="1"/>
  <c r="J95" i="1"/>
  <c r="J96" i="1"/>
  <c r="J97" i="1"/>
  <c r="J98" i="1"/>
  <c r="J99" i="1"/>
  <c r="J100" i="1"/>
  <c r="J101" i="1"/>
  <c r="J102" i="1"/>
  <c r="J103" i="1"/>
  <c r="J104" i="1"/>
  <c r="J105" i="1"/>
  <c r="J106" i="1"/>
  <c r="J107" i="1"/>
  <c r="J108" i="1"/>
  <c r="J109" i="1"/>
  <c r="J110" i="1"/>
  <c r="S25" i="4"/>
  <c r="AQ3" i="4"/>
  <c r="H85" i="4"/>
  <c r="AQ84" i="4"/>
  <c r="BD3" i="4"/>
  <c r="AI120" i="4"/>
  <c r="J183" i="1"/>
  <c r="K205" i="1" s="1"/>
  <c r="AI121" i="4"/>
  <c r="U34" i="6"/>
  <c r="Y6" i="6"/>
  <c r="Y7" i="6"/>
  <c r="Y8" i="6" s="1"/>
  <c r="Y9" i="6" s="1"/>
  <c r="Y10" i="6" s="1"/>
  <c r="Y11" i="6" s="1"/>
  <c r="Y12" i="6" s="1"/>
  <c r="Y13" i="6" s="1"/>
  <c r="Y14" i="6" s="1"/>
  <c r="Y15" i="6" s="1"/>
  <c r="Y16" i="6" s="1"/>
  <c r="Y17" i="6" s="1"/>
  <c r="Y18" i="6" s="1"/>
  <c r="Y19" i="6" s="1"/>
  <c r="Y20" i="6" s="1"/>
  <c r="Y21" i="6" s="1"/>
  <c r="Y22" i="6" s="1"/>
  <c r="Y23" i="6" s="1"/>
  <c r="Y24" i="6" s="1"/>
  <c r="Y25" i="6" s="1"/>
  <c r="Y26" i="6" s="1"/>
  <c r="Y27" i="6" s="1"/>
  <c r="Y28" i="6" s="1"/>
  <c r="Y29" i="6" s="1"/>
  <c r="Y30" i="6" s="1"/>
  <c r="Y31" i="6" s="1"/>
  <c r="Y32" i="6" s="1"/>
  <c r="Y33" i="6" s="1"/>
  <c r="Y34" i="6" s="1"/>
  <c r="Y35" i="6" s="1"/>
  <c r="Y36" i="6" s="1"/>
  <c r="Y37" i="6" s="1"/>
  <c r="H58" i="1"/>
  <c r="K193" i="1" s="1"/>
  <c r="BD120" i="4"/>
  <c r="BC120" i="4"/>
  <c r="BD128" i="4"/>
  <c r="BC128" i="4"/>
  <c r="BD121" i="4"/>
  <c r="BC121" i="4"/>
  <c r="BD129" i="4"/>
  <c r="BC129" i="4"/>
  <c r="BK120" i="4"/>
  <c r="BJ120" i="4"/>
  <c r="AX25" i="4"/>
  <c r="BL3" i="4"/>
  <c r="BL41" i="4" s="1"/>
  <c r="BL25" i="4"/>
  <c r="AX85" i="4"/>
  <c r="BL85" i="4"/>
  <c r="BL84" i="4"/>
  <c r="BK121" i="4"/>
  <c r="BJ121" i="4"/>
  <c r="BK122" i="4"/>
  <c r="BJ122" i="4"/>
  <c r="BK123" i="4"/>
  <c r="BJ123" i="4"/>
  <c r="BK124" i="4"/>
  <c r="BJ124" i="4"/>
  <c r="N87" i="16"/>
  <c r="L87" i="16"/>
  <c r="R68" i="16"/>
  <c r="P68" i="16"/>
  <c r="N68" i="16"/>
  <c r="AI122" i="4"/>
  <c r="AI123" i="4"/>
  <c r="AI124" i="4"/>
  <c r="AP3" i="4"/>
  <c r="AP27" i="4" s="1"/>
  <c r="AP52" i="4"/>
  <c r="AG3" i="4"/>
  <c r="AG41" i="4" s="1"/>
  <c r="AG10" i="4"/>
  <c r="AG12" i="4"/>
  <c r="AI3" i="4"/>
  <c r="AI101" i="4" s="1"/>
  <c r="AJ3" i="4"/>
  <c r="AJ41" i="4" s="1"/>
  <c r="AG25" i="4"/>
  <c r="AG26" i="4"/>
  <c r="AF3" i="4"/>
  <c r="AF41" i="4" s="1"/>
  <c r="AG28" i="4"/>
  <c r="AG29" i="4"/>
  <c r="AJ29" i="4"/>
  <c r="AH3" i="4"/>
  <c r="AH41" i="4" s="1"/>
  <c r="AJ34" i="4"/>
  <c r="AG37" i="4"/>
  <c r="AG38" i="4"/>
  <c r="AJ38" i="4"/>
  <c r="AG43" i="4"/>
  <c r="AJ44" i="4"/>
  <c r="AG48" i="4"/>
  <c r="AJ48" i="4"/>
  <c r="AF50" i="4"/>
  <c r="AG51" i="4"/>
  <c r="AG52" i="4"/>
  <c r="BD19" i="4"/>
  <c r="BD122" i="4"/>
  <c r="BD123" i="4"/>
  <c r="BD124" i="4"/>
  <c r="C185" i="1"/>
  <c r="G133" i="1"/>
  <c r="C61" i="1"/>
  <c r="I111" i="1"/>
  <c r="H111" i="1"/>
  <c r="G58" i="1"/>
  <c r="D127" i="1"/>
  <c r="D143" i="1"/>
  <c r="AI37" i="6"/>
  <c r="AI33" i="6"/>
  <c r="AI32" i="6"/>
  <c r="AI31" i="6"/>
  <c r="AI30" i="6"/>
  <c r="AI29" i="6"/>
  <c r="AI28" i="6"/>
  <c r="AI27" i="6"/>
  <c r="AI26" i="6"/>
  <c r="AI24" i="6"/>
  <c r="AI23" i="6"/>
  <c r="AI22" i="6"/>
  <c r="AI21" i="6"/>
  <c r="AI20" i="6"/>
  <c r="AI19" i="6"/>
  <c r="AI18" i="6"/>
  <c r="AI17" i="6"/>
  <c r="AI16" i="6"/>
  <c r="AI15" i="6"/>
  <c r="AI13" i="6"/>
  <c r="AI12" i="6"/>
  <c r="AI11" i="6"/>
  <c r="AI10" i="6"/>
  <c r="AI9" i="6"/>
  <c r="I55" i="4"/>
  <c r="AM3" i="4"/>
  <c r="AM41" i="4" s="1"/>
  <c r="AM56" i="4"/>
  <c r="AG21" i="4"/>
  <c r="AK3" i="4"/>
  <c r="AK41" i="4" s="1"/>
  <c r="AN3" i="4"/>
  <c r="AN108" i="4" s="1"/>
  <c r="AO3" i="4"/>
  <c r="AO41" i="4" s="1"/>
  <c r="AQ11" i="4"/>
  <c r="AR3" i="4"/>
  <c r="AR108" i="4" s="1"/>
  <c r="G2" i="10"/>
  <c r="L87" i="1" s="1"/>
  <c r="G5" i="10"/>
  <c r="L90" i="1" s="1"/>
  <c r="G6" i="10"/>
  <c r="L91" i="1" s="1"/>
  <c r="G18" i="10"/>
  <c r="L103" i="1" s="1"/>
  <c r="G19" i="10"/>
  <c r="L104" i="1" s="1"/>
  <c r="T56" i="6"/>
  <c r="Q51" i="6"/>
  <c r="S50" i="6" s="1"/>
  <c r="S51" i="6" s="1"/>
  <c r="T51" i="6" s="1"/>
  <c r="Q49" i="6"/>
  <c r="D89" i="1"/>
  <c r="D90" i="1"/>
  <c r="D91" i="1"/>
  <c r="D92" i="1"/>
  <c r="D93" i="1"/>
  <c r="D94" i="1"/>
  <c r="D95" i="1"/>
  <c r="D96" i="1"/>
  <c r="D97" i="1"/>
  <c r="D98" i="1"/>
  <c r="D99" i="1"/>
  <c r="D100" i="1"/>
  <c r="D101" i="1"/>
  <c r="D102" i="1"/>
  <c r="D103" i="1"/>
  <c r="D104" i="1"/>
  <c r="D105" i="1"/>
  <c r="D106" i="1"/>
  <c r="D107" i="1"/>
  <c r="D108" i="1"/>
  <c r="D109" i="1"/>
  <c r="D110" i="1"/>
  <c r="D88" i="1"/>
  <c r="S11" i="4"/>
  <c r="A65" i="4"/>
  <c r="A66" i="4"/>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E68" i="4"/>
  <c r="AE69" i="4" s="1"/>
  <c r="AE70" i="4" s="1"/>
  <c r="AE71" i="4" s="1"/>
  <c r="AE72" i="4" s="1"/>
  <c r="AE73" i="4" s="1"/>
  <c r="AE74" i="4" s="1"/>
  <c r="AE75" i="4" s="1"/>
  <c r="AE76" i="4" s="1"/>
  <c r="AE77" i="4" s="1"/>
  <c r="AE78" i="4" s="1"/>
  <c r="AE79" i="4" s="1"/>
  <c r="AE80" i="4" s="1"/>
  <c r="AE81" i="4" s="1"/>
  <c r="AE82" i="4" s="1"/>
  <c r="AE83" i="4" s="1"/>
  <c r="AE84" i="4" s="1"/>
  <c r="AE85" i="4" s="1"/>
  <c r="AE86" i="4" s="1"/>
  <c r="AE87" i="4" s="1"/>
  <c r="AE88" i="4" s="1"/>
  <c r="AE89" i="4" s="1"/>
  <c r="AE90" i="4" s="1"/>
  <c r="AE91" i="4" s="1"/>
  <c r="AE92" i="4" s="1"/>
  <c r="AE93" i="4" s="1"/>
  <c r="AE94" i="4" s="1"/>
  <c r="AE95" i="4" s="1"/>
  <c r="AE96" i="4" s="1"/>
  <c r="AE97" i="4" s="1"/>
  <c r="AE98" i="4" s="1"/>
  <c r="AE99" i="4" s="1"/>
  <c r="AE100" i="4" s="1"/>
  <c r="AE101" i="4" s="1"/>
  <c r="AE102" i="4" s="1"/>
  <c r="AE103" i="4" s="1"/>
  <c r="AE104" i="4" s="1"/>
  <c r="AE105" i="4" s="1"/>
  <c r="AE106" i="4" s="1"/>
  <c r="AE107" i="4" s="1"/>
  <c r="AE108" i="4" s="1"/>
  <c r="AE109" i="4" s="1"/>
  <c r="AE110" i="4" s="1"/>
  <c r="AE111" i="4" s="1"/>
  <c r="AE112" i="4" s="1"/>
  <c r="AE113" i="4" s="1"/>
  <c r="AE114" i="4" s="1"/>
  <c r="AE115" i="4" s="1"/>
  <c r="AE116" i="4" s="1"/>
  <c r="BP2" i="4"/>
  <c r="BP5" i="4"/>
  <c r="BP6" i="4"/>
  <c r="BP15" i="4"/>
  <c r="BP20" i="4"/>
  <c r="BP31" i="4"/>
  <c r="BP42" i="4"/>
  <c r="BP53" i="4"/>
  <c r="BS7" i="4"/>
  <c r="BS8" i="4" s="1"/>
  <c r="BS9" i="4" s="1"/>
  <c r="BS10" i="4" s="1"/>
  <c r="BS11" i="4" s="1"/>
  <c r="BS12" i="4" s="1"/>
  <c r="BS13" i="4" s="1"/>
  <c r="BS14" i="4" s="1"/>
  <c r="BS15" i="4" s="1"/>
  <c r="BS16" i="4" s="1"/>
  <c r="V19" i="6"/>
  <c r="V7" i="6"/>
  <c r="V8" i="6"/>
  <c r="V9" i="6"/>
  <c r="V10" i="6"/>
  <c r="V11" i="6"/>
  <c r="V12" i="6"/>
  <c r="V13" i="6"/>
  <c r="V14" i="6"/>
  <c r="V15" i="6"/>
  <c r="V16" i="6"/>
  <c r="V17" i="6"/>
  <c r="V18" i="6"/>
  <c r="V20" i="6"/>
  <c r="V21" i="6"/>
  <c r="V22" i="6"/>
  <c r="V23" i="6"/>
  <c r="V24" i="6"/>
  <c r="V25" i="6"/>
  <c r="V26" i="6"/>
  <c r="V27" i="6"/>
  <c r="V28" i="6"/>
  <c r="V29" i="6"/>
  <c r="V30" i="6"/>
  <c r="V31" i="6"/>
  <c r="V32" i="6"/>
  <c r="V33" i="6"/>
  <c r="V34" i="6"/>
  <c r="V35" i="6"/>
  <c r="V36" i="6"/>
  <c r="V37" i="6"/>
  <c r="V6" i="6"/>
  <c r="V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V2" i="6"/>
  <c r="C139" i="1"/>
  <c r="U139" i="1"/>
  <c r="D87" i="1"/>
  <c r="G1" i="10"/>
  <c r="AB60" i="3"/>
  <c r="AB59" i="3"/>
  <c r="AB58" i="3"/>
  <c r="AB57" i="3"/>
  <c r="AB56" i="3"/>
  <c r="C65" i="6"/>
  <c r="I34" i="6"/>
  <c r="BL135" i="4"/>
  <c r="BE135" i="4"/>
  <c r="AQ135" i="4"/>
  <c r="AJ135" i="4"/>
  <c r="BD132" i="4"/>
  <c r="BC132" i="4"/>
  <c r="AI132" i="4"/>
  <c r="AH132" i="4"/>
  <c r="AG132" i="4"/>
  <c r="BB132" i="4" s="1"/>
  <c r="BD131" i="4"/>
  <c r="BC131" i="4"/>
  <c r="AN131" i="4"/>
  <c r="BI131" i="4" s="1"/>
  <c r="AI131" i="4"/>
  <c r="AH131" i="4"/>
  <c r="AG131" i="4"/>
  <c r="BB131" i="4" s="1"/>
  <c r="BD130" i="4"/>
  <c r="BC130" i="4"/>
  <c r="AI130" i="4"/>
  <c r="AH130" i="4"/>
  <c r="AG130" i="4"/>
  <c r="BB130" i="4" s="1"/>
  <c r="AN129" i="4"/>
  <c r="BI129" i="4" s="1"/>
  <c r="AI129" i="4"/>
  <c r="AH129" i="4"/>
  <c r="AG129" i="4"/>
  <c r="BB129" i="4" s="1"/>
  <c r="AI128" i="4"/>
  <c r="AH128" i="4"/>
  <c r="AG128" i="4"/>
  <c r="BB128" i="4" s="1"/>
  <c r="BC124" i="4"/>
  <c r="AG124" i="4"/>
  <c r="AG141" i="4" s="1"/>
  <c r="BC123" i="4"/>
  <c r="AG123" i="4"/>
  <c r="AG140" i="4" s="1"/>
  <c r="BC122" i="4"/>
  <c r="AG122" i="4"/>
  <c r="BB122" i="4" s="1"/>
  <c r="BB139" i="4" s="1"/>
  <c r="AG121" i="4"/>
  <c r="AG138" i="4" s="1"/>
  <c r="BK3" i="4"/>
  <c r="BK24" i="4" s="1"/>
  <c r="C120" i="4"/>
  <c r="M116" i="4"/>
  <c r="AV116" i="4"/>
  <c r="L116" i="4"/>
  <c r="AU116" i="4" s="1"/>
  <c r="K116" i="4"/>
  <c r="AT116" i="4"/>
  <c r="H116" i="4"/>
  <c r="G116" i="4"/>
  <c r="P116" i="4" s="1"/>
  <c r="F116" i="4"/>
  <c r="O116" i="4" s="1"/>
  <c r="B116" i="4"/>
  <c r="AN116" i="4" s="1"/>
  <c r="M115" i="4"/>
  <c r="AV115" i="4"/>
  <c r="L115" i="4"/>
  <c r="AU115" i="4" s="1"/>
  <c r="K115" i="4"/>
  <c r="H115" i="4"/>
  <c r="G115" i="4"/>
  <c r="P115" i="4" s="1"/>
  <c r="F115" i="4"/>
  <c r="B115" i="4"/>
  <c r="M114" i="4"/>
  <c r="AV114" i="4" s="1"/>
  <c r="L114" i="4"/>
  <c r="AU114" i="4"/>
  <c r="K114" i="4"/>
  <c r="AT114" i="4" s="1"/>
  <c r="H114" i="4"/>
  <c r="G114" i="4"/>
  <c r="P114" i="4" s="1"/>
  <c r="F114" i="4"/>
  <c r="AY112" i="4"/>
  <c r="AX112" i="4"/>
  <c r="AW112" i="4"/>
  <c r="AV112" i="4"/>
  <c r="AU112" i="4"/>
  <c r="AT112" i="4"/>
  <c r="O112" i="4"/>
  <c r="H112" i="4"/>
  <c r="AY111" i="4"/>
  <c r="AX111" i="4"/>
  <c r="AW111" i="4"/>
  <c r="AV111" i="4"/>
  <c r="AU111" i="4"/>
  <c r="AT111" i="4"/>
  <c r="O111" i="4"/>
  <c r="H111" i="4"/>
  <c r="AY110" i="4"/>
  <c r="AX110" i="4"/>
  <c r="AW110" i="4"/>
  <c r="AV110" i="4"/>
  <c r="AU110" i="4"/>
  <c r="AT110" i="4"/>
  <c r="O110" i="4"/>
  <c r="H110" i="4"/>
  <c r="AY109" i="4"/>
  <c r="AX109" i="4"/>
  <c r="AW109" i="4"/>
  <c r="AV109" i="4"/>
  <c r="AU109" i="4"/>
  <c r="AT109" i="4"/>
  <c r="O109" i="4"/>
  <c r="H109" i="4"/>
  <c r="AY108" i="4"/>
  <c r="AX108" i="4"/>
  <c r="AW108" i="4"/>
  <c r="AV108" i="4"/>
  <c r="AU108" i="4"/>
  <c r="AT108" i="4"/>
  <c r="O108" i="4"/>
  <c r="H108" i="4"/>
  <c r="AY107" i="4"/>
  <c r="AX107" i="4"/>
  <c r="AW107" i="4"/>
  <c r="AV107" i="4"/>
  <c r="AU107" i="4"/>
  <c r="AT107" i="4"/>
  <c r="O107" i="4"/>
  <c r="H107" i="4"/>
  <c r="AY106" i="4"/>
  <c r="AX106" i="4"/>
  <c r="AW106" i="4"/>
  <c r="AV106" i="4"/>
  <c r="AU106" i="4"/>
  <c r="AT106" i="4"/>
  <c r="O106" i="4"/>
  <c r="H106" i="4"/>
  <c r="AY105" i="4"/>
  <c r="AX105" i="4"/>
  <c r="AW105" i="4"/>
  <c r="AV105" i="4"/>
  <c r="AU105" i="4"/>
  <c r="AT105" i="4"/>
  <c r="O105" i="4"/>
  <c r="H105" i="4"/>
  <c r="AY104" i="4"/>
  <c r="AX104" i="4"/>
  <c r="AW104" i="4"/>
  <c r="AV104" i="4"/>
  <c r="AU104" i="4"/>
  <c r="AT104" i="4"/>
  <c r="O104" i="4"/>
  <c r="H104" i="4"/>
  <c r="AY103" i="4"/>
  <c r="AX103" i="4"/>
  <c r="AW103" i="4"/>
  <c r="AV103" i="4"/>
  <c r="AU103" i="4"/>
  <c r="AT103" i="4"/>
  <c r="O103" i="4"/>
  <c r="H103" i="4"/>
  <c r="AY100" i="4"/>
  <c r="AX100" i="4"/>
  <c r="AW100" i="4"/>
  <c r="AV100" i="4"/>
  <c r="AU100" i="4"/>
  <c r="AT100" i="4"/>
  <c r="O100" i="4"/>
  <c r="H100" i="4"/>
  <c r="AY99" i="4"/>
  <c r="AX99" i="4"/>
  <c r="AW99" i="4"/>
  <c r="AV99" i="4"/>
  <c r="AU99" i="4"/>
  <c r="AT99" i="4"/>
  <c r="O99" i="4"/>
  <c r="H99" i="4"/>
  <c r="AY98" i="4"/>
  <c r="AX98" i="4"/>
  <c r="AW98" i="4"/>
  <c r="AV98" i="4"/>
  <c r="AU98" i="4"/>
  <c r="AT98" i="4"/>
  <c r="O98" i="4"/>
  <c r="H98" i="4"/>
  <c r="AY97" i="4"/>
  <c r="AX97" i="4"/>
  <c r="AW97" i="4"/>
  <c r="AV97" i="4"/>
  <c r="AU97" i="4"/>
  <c r="AT97" i="4"/>
  <c r="O97" i="4"/>
  <c r="H97" i="4"/>
  <c r="AY96" i="4"/>
  <c r="AX96" i="4"/>
  <c r="AW96" i="4"/>
  <c r="AV96" i="4"/>
  <c r="AU96" i="4"/>
  <c r="AT96" i="4"/>
  <c r="O96" i="4"/>
  <c r="H96" i="4"/>
  <c r="AY95" i="4"/>
  <c r="AX95" i="4"/>
  <c r="AW95" i="4"/>
  <c r="AV95" i="4"/>
  <c r="AU95" i="4"/>
  <c r="AT95" i="4"/>
  <c r="O95" i="4"/>
  <c r="H95" i="4"/>
  <c r="AY94" i="4"/>
  <c r="AX94" i="4"/>
  <c r="AW94" i="4"/>
  <c r="AV94" i="4"/>
  <c r="AU94" i="4"/>
  <c r="AT94" i="4"/>
  <c r="O94" i="4"/>
  <c r="H94" i="4"/>
  <c r="AY93" i="4"/>
  <c r="AX93" i="4"/>
  <c r="AW93" i="4"/>
  <c r="AV93" i="4"/>
  <c r="AU93" i="4"/>
  <c r="AT93" i="4"/>
  <c r="O93" i="4"/>
  <c r="H93" i="4"/>
  <c r="AY92" i="4"/>
  <c r="AX92" i="4"/>
  <c r="AW92" i="4"/>
  <c r="AV92" i="4"/>
  <c r="AU92" i="4"/>
  <c r="AT92" i="4"/>
  <c r="O92" i="4"/>
  <c r="H92" i="4"/>
  <c r="AY90" i="4"/>
  <c r="AX90" i="4"/>
  <c r="AW90" i="4"/>
  <c r="AV90" i="4"/>
  <c r="AU90" i="4"/>
  <c r="AT90" i="4"/>
  <c r="O90" i="4"/>
  <c r="H90" i="4"/>
  <c r="AY89" i="4"/>
  <c r="AX89" i="4"/>
  <c r="AW89" i="4"/>
  <c r="AV89" i="4"/>
  <c r="AU89" i="4"/>
  <c r="AT89" i="4"/>
  <c r="O89" i="4"/>
  <c r="H89" i="4"/>
  <c r="AY88" i="4"/>
  <c r="AX88" i="4"/>
  <c r="AW88" i="4"/>
  <c r="AV88" i="4"/>
  <c r="AU88" i="4"/>
  <c r="AT88" i="4"/>
  <c r="O88" i="4"/>
  <c r="H88" i="4"/>
  <c r="AY87" i="4"/>
  <c r="AX87" i="4"/>
  <c r="AW87" i="4"/>
  <c r="AV87" i="4"/>
  <c r="AU87" i="4"/>
  <c r="AT87" i="4"/>
  <c r="O87" i="4"/>
  <c r="H87" i="4"/>
  <c r="AY86" i="4"/>
  <c r="AX86" i="4"/>
  <c r="AW86" i="4"/>
  <c r="AV86" i="4"/>
  <c r="AU86" i="4"/>
  <c r="AT86" i="4"/>
  <c r="O86" i="4"/>
  <c r="H86" i="4"/>
  <c r="AY85" i="4"/>
  <c r="AW85" i="4"/>
  <c r="AV85" i="4"/>
  <c r="AU85" i="4"/>
  <c r="AT85" i="4"/>
  <c r="O85" i="4"/>
  <c r="AY84" i="4"/>
  <c r="AX84" i="4"/>
  <c r="AW84" i="4"/>
  <c r="AV84" i="4"/>
  <c r="AU84" i="4"/>
  <c r="AT84" i="4"/>
  <c r="O84" i="4"/>
  <c r="H84" i="4"/>
  <c r="AY83" i="4"/>
  <c r="AX83" i="4"/>
  <c r="AW83" i="4"/>
  <c r="AV83" i="4"/>
  <c r="AU83" i="4"/>
  <c r="AT83" i="4"/>
  <c r="O83" i="4"/>
  <c r="H83" i="4"/>
  <c r="AY82" i="4"/>
  <c r="AX82" i="4"/>
  <c r="AW82" i="4"/>
  <c r="AV82" i="4"/>
  <c r="AU82" i="4"/>
  <c r="AT82" i="4"/>
  <c r="O82" i="4"/>
  <c r="H82" i="4"/>
  <c r="AY81" i="4"/>
  <c r="AX81" i="4"/>
  <c r="AW81" i="4"/>
  <c r="AV81" i="4"/>
  <c r="AU81" i="4"/>
  <c r="AT81" i="4"/>
  <c r="O81" i="4"/>
  <c r="H81" i="4"/>
  <c r="AY79" i="4"/>
  <c r="AX79" i="4"/>
  <c r="AW79" i="4"/>
  <c r="AV79" i="4"/>
  <c r="AU79" i="4"/>
  <c r="AT79" i="4"/>
  <c r="O79" i="4"/>
  <c r="H79" i="4"/>
  <c r="AY78" i="4"/>
  <c r="AX78" i="4"/>
  <c r="AW78" i="4"/>
  <c r="AV78" i="4"/>
  <c r="AU78" i="4"/>
  <c r="AT78" i="4"/>
  <c r="O78" i="4"/>
  <c r="H78" i="4"/>
  <c r="AY77" i="4"/>
  <c r="AX77" i="4"/>
  <c r="AW77" i="4"/>
  <c r="AV77" i="4"/>
  <c r="AU77" i="4"/>
  <c r="AT77" i="4"/>
  <c r="O77" i="4"/>
  <c r="H77" i="4"/>
  <c r="AY76" i="4"/>
  <c r="AX76" i="4"/>
  <c r="AW76" i="4"/>
  <c r="AV76" i="4"/>
  <c r="AU76" i="4"/>
  <c r="AT76" i="4"/>
  <c r="O76" i="4"/>
  <c r="H76" i="4"/>
  <c r="AY74" i="4"/>
  <c r="AX74" i="4"/>
  <c r="AW74" i="4"/>
  <c r="AV74" i="4"/>
  <c r="AU74" i="4"/>
  <c r="AT74" i="4"/>
  <c r="O74" i="4"/>
  <c r="H74" i="4"/>
  <c r="AY73" i="4"/>
  <c r="AX73" i="4"/>
  <c r="AW73" i="4"/>
  <c r="AV73" i="4"/>
  <c r="AU73" i="4"/>
  <c r="AT73" i="4"/>
  <c r="O73" i="4"/>
  <c r="H73" i="4"/>
  <c r="AY72" i="4"/>
  <c r="AX72" i="4"/>
  <c r="AW72" i="4"/>
  <c r="AV72" i="4"/>
  <c r="AU72" i="4"/>
  <c r="AT72" i="4"/>
  <c r="O72" i="4"/>
  <c r="H72" i="4"/>
  <c r="AY71" i="4"/>
  <c r="AX71" i="4"/>
  <c r="AW71" i="4"/>
  <c r="AV71" i="4"/>
  <c r="AU71" i="4"/>
  <c r="AT71" i="4"/>
  <c r="O71" i="4"/>
  <c r="H71" i="4"/>
  <c r="AY70" i="4"/>
  <c r="AX70" i="4"/>
  <c r="AW70" i="4"/>
  <c r="AV70" i="4"/>
  <c r="AU70" i="4"/>
  <c r="AT70" i="4"/>
  <c r="O70" i="4"/>
  <c r="H70" i="4"/>
  <c r="AY69" i="4"/>
  <c r="AX69" i="4"/>
  <c r="AW69" i="4"/>
  <c r="AV69" i="4"/>
  <c r="AU69" i="4"/>
  <c r="AT69" i="4"/>
  <c r="O69" i="4"/>
  <c r="H69" i="4"/>
  <c r="AY68" i="4"/>
  <c r="AX68" i="4"/>
  <c r="AW68" i="4"/>
  <c r="AV68" i="4"/>
  <c r="AU68" i="4"/>
  <c r="AT68" i="4"/>
  <c r="O68" i="4"/>
  <c r="H68" i="4"/>
  <c r="AY67" i="4"/>
  <c r="AX67" i="4"/>
  <c r="AW67" i="4"/>
  <c r="AV67" i="4"/>
  <c r="AU67" i="4"/>
  <c r="AT67" i="4"/>
  <c r="O67" i="4"/>
  <c r="H67" i="4"/>
  <c r="BM63" i="4"/>
  <c r="BL63" i="4"/>
  <c r="BK63" i="4"/>
  <c r="BJ63" i="4"/>
  <c r="BI63" i="4"/>
  <c r="BH63" i="4"/>
  <c r="BF63" i="4"/>
  <c r="BE63" i="4"/>
  <c r="BD63" i="4"/>
  <c r="BC63" i="4"/>
  <c r="BB63" i="4"/>
  <c r="BA63" i="4"/>
  <c r="AR63" i="4"/>
  <c r="AQ63" i="4"/>
  <c r="AP63" i="4"/>
  <c r="AO63" i="4"/>
  <c r="AN63" i="4"/>
  <c r="AM63" i="4"/>
  <c r="AK63" i="4"/>
  <c r="AJ63" i="4"/>
  <c r="AI63" i="4"/>
  <c r="AH63" i="4"/>
  <c r="AG63" i="4"/>
  <c r="AF63" i="4"/>
  <c r="M56" i="4"/>
  <c r="L56" i="4"/>
  <c r="K56" i="4"/>
  <c r="AX56" i="4" s="1"/>
  <c r="J56" i="4"/>
  <c r="I56" i="4"/>
  <c r="H56" i="4"/>
  <c r="T56" i="4" s="1"/>
  <c r="F56" i="4"/>
  <c r="G56" i="4"/>
  <c r="E56" i="4"/>
  <c r="M55" i="4"/>
  <c r="J55" i="4"/>
  <c r="L55" i="4"/>
  <c r="K55" i="4"/>
  <c r="H55" i="4"/>
  <c r="S55" i="4" s="1"/>
  <c r="G55" i="4"/>
  <c r="R55" i="4" s="1"/>
  <c r="F55" i="4"/>
  <c r="E55" i="4"/>
  <c r="M54" i="4"/>
  <c r="AY54" i="4" s="1"/>
  <c r="L54" i="4"/>
  <c r="K54" i="4"/>
  <c r="J54" i="4"/>
  <c r="AU54" i="4" s="1"/>
  <c r="I54" i="4"/>
  <c r="H54" i="4"/>
  <c r="G54" i="4"/>
  <c r="E54" i="4"/>
  <c r="F54" i="4"/>
  <c r="S54" i="4" s="1"/>
  <c r="AY52" i="4"/>
  <c r="AX52" i="4"/>
  <c r="AW52" i="4"/>
  <c r="AV52" i="4"/>
  <c r="AU52" i="4"/>
  <c r="AT52" i="4"/>
  <c r="T52" i="4"/>
  <c r="S52" i="4"/>
  <c r="R52" i="4"/>
  <c r="Q52" i="4"/>
  <c r="P52" i="4"/>
  <c r="O52" i="4"/>
  <c r="AY51" i="4"/>
  <c r="AX51" i="4"/>
  <c r="AW51" i="4"/>
  <c r="AV51" i="4"/>
  <c r="AU51" i="4"/>
  <c r="AT51" i="4"/>
  <c r="T51" i="4"/>
  <c r="S51" i="4"/>
  <c r="R51" i="4"/>
  <c r="Q51" i="4"/>
  <c r="P51" i="4"/>
  <c r="O51" i="4"/>
  <c r="AY50" i="4"/>
  <c r="AX50" i="4"/>
  <c r="AW50" i="4"/>
  <c r="AV50" i="4"/>
  <c r="AU50" i="4"/>
  <c r="AT50" i="4"/>
  <c r="T50" i="4"/>
  <c r="S50" i="4"/>
  <c r="R50" i="4"/>
  <c r="Q50" i="4"/>
  <c r="P50" i="4"/>
  <c r="O50" i="4"/>
  <c r="AY49" i="4"/>
  <c r="AX49" i="4"/>
  <c r="AW49" i="4"/>
  <c r="AV49" i="4"/>
  <c r="AU49" i="4"/>
  <c r="AT49" i="4"/>
  <c r="T49" i="4"/>
  <c r="S49" i="4"/>
  <c r="R49" i="4"/>
  <c r="Q49" i="4"/>
  <c r="P49" i="4"/>
  <c r="O49" i="4"/>
  <c r="AY48" i="4"/>
  <c r="AX48" i="4"/>
  <c r="AW48" i="4"/>
  <c r="AV48" i="4"/>
  <c r="AU48" i="4"/>
  <c r="AT48" i="4"/>
  <c r="T48" i="4"/>
  <c r="S48" i="4"/>
  <c r="R48" i="4"/>
  <c r="Q48" i="4"/>
  <c r="P48" i="4"/>
  <c r="O48" i="4"/>
  <c r="AY47" i="4"/>
  <c r="AX47" i="4"/>
  <c r="AW47" i="4"/>
  <c r="AV47" i="4"/>
  <c r="AU47" i="4"/>
  <c r="AT47" i="4"/>
  <c r="T47" i="4"/>
  <c r="S47" i="4"/>
  <c r="R47" i="4"/>
  <c r="Q47" i="4"/>
  <c r="P47" i="4"/>
  <c r="O47" i="4"/>
  <c r="AY46" i="4"/>
  <c r="AX46" i="4"/>
  <c r="AW46" i="4"/>
  <c r="AV46" i="4"/>
  <c r="AU46" i="4"/>
  <c r="AT46" i="4"/>
  <c r="T46" i="4"/>
  <c r="S46" i="4"/>
  <c r="R46" i="4"/>
  <c r="Q46" i="4"/>
  <c r="P46" i="4"/>
  <c r="O46" i="4"/>
  <c r="AY45" i="4"/>
  <c r="AX45" i="4"/>
  <c r="AW45" i="4"/>
  <c r="AV45" i="4"/>
  <c r="AU45" i="4"/>
  <c r="AT45" i="4"/>
  <c r="T45" i="4"/>
  <c r="S45" i="4"/>
  <c r="R45" i="4"/>
  <c r="Q45" i="4"/>
  <c r="P45" i="4"/>
  <c r="O45" i="4"/>
  <c r="AY44" i="4"/>
  <c r="AX44" i="4"/>
  <c r="AW44" i="4"/>
  <c r="AV44" i="4"/>
  <c r="AU44" i="4"/>
  <c r="AT44" i="4"/>
  <c r="T44" i="4"/>
  <c r="S44" i="4"/>
  <c r="R44" i="4"/>
  <c r="Q44" i="4"/>
  <c r="P44" i="4"/>
  <c r="O44" i="4"/>
  <c r="AY43" i="4"/>
  <c r="AX43" i="4"/>
  <c r="AW43" i="4"/>
  <c r="AV43" i="4"/>
  <c r="AU43" i="4"/>
  <c r="AT43" i="4"/>
  <c r="T43" i="4"/>
  <c r="S43" i="4"/>
  <c r="R43" i="4"/>
  <c r="Q43" i="4"/>
  <c r="P43" i="4"/>
  <c r="O43" i="4"/>
  <c r="AY40" i="4"/>
  <c r="AX40" i="4"/>
  <c r="AW40" i="4"/>
  <c r="AV40" i="4"/>
  <c r="AU40" i="4"/>
  <c r="AT40" i="4"/>
  <c r="T40" i="4"/>
  <c r="S40" i="4"/>
  <c r="R40" i="4"/>
  <c r="Q40" i="4"/>
  <c r="P40" i="4"/>
  <c r="O40" i="4"/>
  <c r="AY39" i="4"/>
  <c r="AX39" i="4"/>
  <c r="AW39" i="4"/>
  <c r="AV39" i="4"/>
  <c r="AU39" i="4"/>
  <c r="AT39" i="4"/>
  <c r="T39" i="4"/>
  <c r="S39" i="4"/>
  <c r="R39" i="4"/>
  <c r="Q39" i="4"/>
  <c r="P39" i="4"/>
  <c r="O39" i="4"/>
  <c r="AY38" i="4"/>
  <c r="AX38" i="4"/>
  <c r="AW38" i="4"/>
  <c r="AV38" i="4"/>
  <c r="AU38" i="4"/>
  <c r="AT38" i="4"/>
  <c r="T38" i="4"/>
  <c r="S38" i="4"/>
  <c r="R38" i="4"/>
  <c r="Q38" i="4"/>
  <c r="P38" i="4"/>
  <c r="O38" i="4"/>
  <c r="AY37" i="4"/>
  <c r="AX37" i="4"/>
  <c r="AW37" i="4"/>
  <c r="AV37" i="4"/>
  <c r="AU37" i="4"/>
  <c r="AT37" i="4"/>
  <c r="T37" i="4"/>
  <c r="S37" i="4"/>
  <c r="R37" i="4"/>
  <c r="Q37" i="4"/>
  <c r="P37" i="4"/>
  <c r="O37" i="4"/>
  <c r="AY36" i="4"/>
  <c r="AX36" i="4"/>
  <c r="AW36" i="4"/>
  <c r="AV36" i="4"/>
  <c r="AU36" i="4"/>
  <c r="AT36" i="4"/>
  <c r="T36" i="4"/>
  <c r="S36" i="4"/>
  <c r="R36" i="4"/>
  <c r="Q36" i="4"/>
  <c r="P36" i="4"/>
  <c r="O36" i="4"/>
  <c r="AY35" i="4"/>
  <c r="AX35" i="4"/>
  <c r="AW35" i="4"/>
  <c r="AV35" i="4"/>
  <c r="AU35" i="4"/>
  <c r="AT35" i="4"/>
  <c r="T35" i="4"/>
  <c r="S35" i="4"/>
  <c r="R35" i="4"/>
  <c r="Q35" i="4"/>
  <c r="P35" i="4"/>
  <c r="O35" i="4"/>
  <c r="AY34" i="4"/>
  <c r="AX34" i="4"/>
  <c r="AW34" i="4"/>
  <c r="AV34" i="4"/>
  <c r="AU34" i="4"/>
  <c r="AT34" i="4"/>
  <c r="T34" i="4"/>
  <c r="S34" i="4"/>
  <c r="R34" i="4"/>
  <c r="Q34" i="4"/>
  <c r="P34" i="4"/>
  <c r="O34" i="4"/>
  <c r="AY33" i="4"/>
  <c r="AX33" i="4"/>
  <c r="AW33" i="4"/>
  <c r="AV33" i="4"/>
  <c r="AU33" i="4"/>
  <c r="AT33" i="4"/>
  <c r="T33" i="4"/>
  <c r="S33" i="4"/>
  <c r="R33" i="4"/>
  <c r="Q33" i="4"/>
  <c r="P33" i="4"/>
  <c r="O33" i="4"/>
  <c r="AY32" i="4"/>
  <c r="AX32" i="4"/>
  <c r="AW32" i="4"/>
  <c r="AV32" i="4"/>
  <c r="AU32" i="4"/>
  <c r="AT32" i="4"/>
  <c r="T32" i="4"/>
  <c r="S32" i="4"/>
  <c r="R32" i="4"/>
  <c r="Q32" i="4"/>
  <c r="P32" i="4"/>
  <c r="O32" i="4"/>
  <c r="AY30" i="4"/>
  <c r="AX30" i="4"/>
  <c r="AW30" i="4"/>
  <c r="AV30" i="4"/>
  <c r="AU30" i="4"/>
  <c r="AT30" i="4"/>
  <c r="T30" i="4"/>
  <c r="S30" i="4"/>
  <c r="R30" i="4"/>
  <c r="Q30" i="4"/>
  <c r="P30" i="4"/>
  <c r="O30" i="4"/>
  <c r="AY29" i="4"/>
  <c r="AX29" i="4"/>
  <c r="AW29" i="4"/>
  <c r="AV29" i="4"/>
  <c r="AU29" i="4"/>
  <c r="AT29" i="4"/>
  <c r="T29" i="4"/>
  <c r="S29" i="4"/>
  <c r="R29" i="4"/>
  <c r="Q29" i="4"/>
  <c r="P29" i="4"/>
  <c r="O29" i="4"/>
  <c r="AY28" i="4"/>
  <c r="AX28" i="4"/>
  <c r="AW28" i="4"/>
  <c r="AV28" i="4"/>
  <c r="AU28" i="4"/>
  <c r="AT28" i="4"/>
  <c r="T28" i="4"/>
  <c r="S28" i="4"/>
  <c r="R28" i="4"/>
  <c r="Q28" i="4"/>
  <c r="P28" i="4"/>
  <c r="O28" i="4"/>
  <c r="AY27" i="4"/>
  <c r="AX27" i="4"/>
  <c r="AW27" i="4"/>
  <c r="AV27" i="4"/>
  <c r="AU27" i="4"/>
  <c r="AT27" i="4"/>
  <c r="T27" i="4"/>
  <c r="S27" i="4"/>
  <c r="R27" i="4"/>
  <c r="Q27" i="4"/>
  <c r="P27" i="4"/>
  <c r="O27" i="4"/>
  <c r="AY26" i="4"/>
  <c r="AX26" i="4"/>
  <c r="AW26" i="4"/>
  <c r="AV26" i="4"/>
  <c r="AU26" i="4"/>
  <c r="AT26" i="4"/>
  <c r="T26" i="4"/>
  <c r="S26" i="4"/>
  <c r="R26" i="4"/>
  <c r="Q26" i="4"/>
  <c r="P26" i="4"/>
  <c r="O26" i="4"/>
  <c r="AY25" i="4"/>
  <c r="AW25" i="4"/>
  <c r="AV25" i="4"/>
  <c r="AU25" i="4"/>
  <c r="AT25" i="4"/>
  <c r="R25" i="4"/>
  <c r="Q25" i="4"/>
  <c r="P25" i="4"/>
  <c r="O25" i="4"/>
  <c r="AY24" i="4"/>
  <c r="AX24" i="4"/>
  <c r="AW24" i="4"/>
  <c r="AV24" i="4"/>
  <c r="AU24" i="4"/>
  <c r="AT24" i="4"/>
  <c r="T24" i="4"/>
  <c r="S24" i="4"/>
  <c r="R24" i="4"/>
  <c r="Q24" i="4"/>
  <c r="P24" i="4"/>
  <c r="O24" i="4"/>
  <c r="AY23" i="4"/>
  <c r="AX23" i="4"/>
  <c r="AW23" i="4"/>
  <c r="AV23" i="4"/>
  <c r="AU23" i="4"/>
  <c r="AT23" i="4"/>
  <c r="T23" i="4"/>
  <c r="S23" i="4"/>
  <c r="R23" i="4"/>
  <c r="Q23" i="4"/>
  <c r="P23" i="4"/>
  <c r="O23" i="4"/>
  <c r="AY22" i="4"/>
  <c r="AX22" i="4"/>
  <c r="AW22" i="4"/>
  <c r="AV22" i="4"/>
  <c r="AU22" i="4"/>
  <c r="AT22" i="4"/>
  <c r="T22" i="4"/>
  <c r="S22" i="4"/>
  <c r="R22" i="4"/>
  <c r="Q22" i="4"/>
  <c r="P22" i="4"/>
  <c r="O22" i="4"/>
  <c r="AY21" i="4"/>
  <c r="AX21" i="4"/>
  <c r="AW21" i="4"/>
  <c r="AV21" i="4"/>
  <c r="AU21" i="4"/>
  <c r="AT21" i="4"/>
  <c r="T21" i="4"/>
  <c r="S21" i="4"/>
  <c r="R21" i="4"/>
  <c r="Q21" i="4"/>
  <c r="P21" i="4"/>
  <c r="O21" i="4"/>
  <c r="AY19" i="4"/>
  <c r="AX19" i="4"/>
  <c r="AW19" i="4"/>
  <c r="AV19" i="4"/>
  <c r="AU19" i="4"/>
  <c r="AT19" i="4"/>
  <c r="T19" i="4"/>
  <c r="S19" i="4"/>
  <c r="R19" i="4"/>
  <c r="Q19" i="4"/>
  <c r="P19" i="4"/>
  <c r="O19" i="4"/>
  <c r="AY18" i="4"/>
  <c r="AX18" i="4"/>
  <c r="AW18" i="4"/>
  <c r="AV18" i="4"/>
  <c r="AU18" i="4"/>
  <c r="AT18" i="4"/>
  <c r="T18" i="4"/>
  <c r="S18" i="4"/>
  <c r="R18" i="4"/>
  <c r="Q18" i="4"/>
  <c r="P18" i="4"/>
  <c r="O18" i="4"/>
  <c r="AY17" i="4"/>
  <c r="AX17" i="4"/>
  <c r="AW17" i="4"/>
  <c r="AV17" i="4"/>
  <c r="AU17" i="4"/>
  <c r="AT17" i="4"/>
  <c r="T17" i="4"/>
  <c r="S17" i="4"/>
  <c r="R17" i="4"/>
  <c r="Q17" i="4"/>
  <c r="P17" i="4"/>
  <c r="O17" i="4"/>
  <c r="AY16" i="4"/>
  <c r="AX16" i="4"/>
  <c r="AW16" i="4"/>
  <c r="AV16" i="4"/>
  <c r="AU16" i="4"/>
  <c r="AT16" i="4"/>
  <c r="T16" i="4"/>
  <c r="S16" i="4"/>
  <c r="R16" i="4"/>
  <c r="Q16" i="4"/>
  <c r="P16" i="4"/>
  <c r="O16" i="4"/>
  <c r="AY14" i="4"/>
  <c r="AX14" i="4"/>
  <c r="AW14" i="4"/>
  <c r="AV14" i="4"/>
  <c r="AU14" i="4"/>
  <c r="AT14" i="4"/>
  <c r="T14" i="4"/>
  <c r="S14" i="4"/>
  <c r="R14" i="4"/>
  <c r="Q14" i="4"/>
  <c r="P14" i="4"/>
  <c r="O14" i="4"/>
  <c r="AY13" i="4"/>
  <c r="AX13" i="4"/>
  <c r="AW13" i="4"/>
  <c r="AV13" i="4"/>
  <c r="AU13" i="4"/>
  <c r="AT13" i="4"/>
  <c r="T13" i="4"/>
  <c r="S13" i="4"/>
  <c r="R13" i="4"/>
  <c r="Q13" i="4"/>
  <c r="P13" i="4"/>
  <c r="O13" i="4"/>
  <c r="AY12" i="4"/>
  <c r="AX12" i="4"/>
  <c r="AW12" i="4"/>
  <c r="AV12" i="4"/>
  <c r="AU12" i="4"/>
  <c r="AT12" i="4"/>
  <c r="T12" i="4"/>
  <c r="S12" i="4"/>
  <c r="R12" i="4"/>
  <c r="Q12" i="4"/>
  <c r="P12" i="4"/>
  <c r="O12" i="4"/>
  <c r="AY11" i="4"/>
  <c r="AX11" i="4"/>
  <c r="AW11" i="4"/>
  <c r="AV11" i="4"/>
  <c r="AU11" i="4"/>
  <c r="AT11" i="4"/>
  <c r="T11" i="4"/>
  <c r="R11" i="4"/>
  <c r="Q11" i="4"/>
  <c r="P11" i="4"/>
  <c r="O11" i="4"/>
  <c r="AY10" i="4"/>
  <c r="AX10" i="4"/>
  <c r="AW10" i="4"/>
  <c r="AV10" i="4"/>
  <c r="AU10" i="4"/>
  <c r="AT10" i="4"/>
  <c r="T10" i="4"/>
  <c r="S10" i="4"/>
  <c r="R10" i="4"/>
  <c r="Q10" i="4"/>
  <c r="P10" i="4"/>
  <c r="O10" i="4"/>
  <c r="AY9" i="4"/>
  <c r="AX9" i="4"/>
  <c r="AW9" i="4"/>
  <c r="AV9" i="4"/>
  <c r="AU9" i="4"/>
  <c r="AT9" i="4"/>
  <c r="T9" i="4"/>
  <c r="S9" i="4"/>
  <c r="R9" i="4"/>
  <c r="Q9" i="4"/>
  <c r="P9" i="4"/>
  <c r="O9" i="4"/>
  <c r="AY8" i="4"/>
  <c r="AX8" i="4"/>
  <c r="AW8" i="4"/>
  <c r="AV8" i="4"/>
  <c r="AU8" i="4"/>
  <c r="AT8" i="4"/>
  <c r="T8" i="4"/>
  <c r="S8" i="4"/>
  <c r="R8" i="4"/>
  <c r="Q8" i="4"/>
  <c r="P8" i="4"/>
  <c r="O8" i="4"/>
  <c r="AY7" i="4"/>
  <c r="AX7" i="4"/>
  <c r="AW7" i="4"/>
  <c r="AV7" i="4"/>
  <c r="AU7" i="4"/>
  <c r="AT7" i="4"/>
  <c r="T7" i="4"/>
  <c r="S7" i="4"/>
  <c r="R7" i="4"/>
  <c r="Q7" i="4"/>
  <c r="P7" i="4"/>
  <c r="O7" i="4"/>
  <c r="BM3" i="4"/>
  <c r="BM97" i="4" s="1"/>
  <c r="BL10" i="4"/>
  <c r="BJ3" i="4"/>
  <c r="BJ101" i="4" s="1"/>
  <c r="BI3" i="4"/>
  <c r="BI41" i="4" s="1"/>
  <c r="BH3" i="4"/>
  <c r="BF3" i="4"/>
  <c r="BF101" i="4" s="1"/>
  <c r="BE3" i="4"/>
  <c r="BE41" i="4" s="1"/>
  <c r="BC3" i="4"/>
  <c r="BC41" i="4" s="1"/>
  <c r="BB3" i="4"/>
  <c r="BB107" i="4" s="1"/>
  <c r="BA3" i="4"/>
  <c r="BA41" i="4" s="1"/>
  <c r="E24" i="7"/>
  <c r="E19" i="7"/>
  <c r="E13" i="7"/>
  <c r="E8" i="7"/>
  <c r="I25" i="1"/>
  <c r="C33" i="1" s="1"/>
  <c r="AJ94" i="4"/>
  <c r="AT54" i="4"/>
  <c r="AW56" i="4"/>
  <c r="AV56" i="4"/>
  <c r="AX55" i="4"/>
  <c r="AI112" i="4"/>
  <c r="AI111" i="4"/>
  <c r="AI110" i="4"/>
  <c r="AI109" i="4"/>
  <c r="AI108" i="4"/>
  <c r="AI107" i="4"/>
  <c r="AI105" i="4"/>
  <c r="AI104" i="4"/>
  <c r="AI103" i="4"/>
  <c r="AI116" i="4"/>
  <c r="AI100" i="4"/>
  <c r="AI98" i="4"/>
  <c r="AI96" i="4"/>
  <c r="AI97" i="4"/>
  <c r="AI95" i="4"/>
  <c r="AI93" i="4"/>
  <c r="AI90" i="4"/>
  <c r="AI88" i="4"/>
  <c r="AI86" i="4"/>
  <c r="AI84" i="4"/>
  <c r="AI77" i="4"/>
  <c r="AI72" i="4"/>
  <c r="AI70" i="4"/>
  <c r="AI94" i="4"/>
  <c r="AI92" i="4"/>
  <c r="AI89" i="4"/>
  <c r="AI87" i="4"/>
  <c r="AI81" i="4"/>
  <c r="AI78" i="4"/>
  <c r="AI76" i="4"/>
  <c r="AN112" i="4"/>
  <c r="AN105" i="4"/>
  <c r="AN96" i="4"/>
  <c r="AN77" i="4"/>
  <c r="AN89" i="4"/>
  <c r="AN71" i="4"/>
  <c r="AR112" i="4"/>
  <c r="AR111" i="4"/>
  <c r="AR110" i="4"/>
  <c r="AR107" i="4"/>
  <c r="AR106" i="4"/>
  <c r="AR105" i="4"/>
  <c r="AR104" i="4"/>
  <c r="AR103" i="4"/>
  <c r="AR99" i="4"/>
  <c r="AR97" i="4"/>
  <c r="AR68" i="4"/>
  <c r="AR69" i="4"/>
  <c r="AR100" i="4"/>
  <c r="AR98" i="4"/>
  <c r="AR96" i="4"/>
  <c r="AR94" i="4"/>
  <c r="AR92" i="4"/>
  <c r="AR87" i="4"/>
  <c r="AR85" i="4"/>
  <c r="AR83" i="4"/>
  <c r="AR81" i="4"/>
  <c r="AR78" i="4"/>
  <c r="AR76" i="4"/>
  <c r="AR73" i="4"/>
  <c r="AR93" i="4"/>
  <c r="AR90" i="4"/>
  <c r="AR88" i="4"/>
  <c r="AR86" i="4"/>
  <c r="AR84" i="4"/>
  <c r="AR82" i="4"/>
  <c r="AR79" i="4"/>
  <c r="AR74" i="4"/>
  <c r="AR72" i="4"/>
  <c r="AR70" i="4"/>
  <c r="BD112" i="4"/>
  <c r="BD110" i="4"/>
  <c r="BD108" i="4"/>
  <c r="BD109" i="4"/>
  <c r="BD106" i="4"/>
  <c r="BD104" i="4"/>
  <c r="BD100" i="4"/>
  <c r="BD99" i="4"/>
  <c r="BD98" i="4"/>
  <c r="BD97" i="4"/>
  <c r="BD96" i="4"/>
  <c r="BD95" i="4"/>
  <c r="BD94" i="4"/>
  <c r="BD111" i="4"/>
  <c r="BD107" i="4"/>
  <c r="BD93" i="4"/>
  <c r="BD92" i="4"/>
  <c r="BD90" i="4"/>
  <c r="BD89" i="4"/>
  <c r="BD88" i="4"/>
  <c r="BD87" i="4"/>
  <c r="BD86" i="4"/>
  <c r="BD85" i="4"/>
  <c r="BD84" i="4"/>
  <c r="BD82" i="4"/>
  <c r="BD81" i="4"/>
  <c r="BD78" i="4"/>
  <c r="BD77" i="4"/>
  <c r="BD76" i="4"/>
  <c r="BD72" i="4"/>
  <c r="BD70" i="4"/>
  <c r="BD103" i="4"/>
  <c r="BD52" i="4"/>
  <c r="BD50" i="4"/>
  <c r="BD48" i="4"/>
  <c r="BD51" i="4"/>
  <c r="BD49" i="4"/>
  <c r="BD43" i="4"/>
  <c r="BD39" i="4"/>
  <c r="BD37" i="4"/>
  <c r="BD35" i="4"/>
  <c r="BD33" i="4"/>
  <c r="BD30" i="4"/>
  <c r="BD28" i="4"/>
  <c r="BD26" i="4"/>
  <c r="BD24" i="4"/>
  <c r="BD22" i="4"/>
  <c r="BD47" i="4"/>
  <c r="BD46" i="4"/>
  <c r="BD44" i="4"/>
  <c r="BD40" i="4"/>
  <c r="BD38" i="4"/>
  <c r="BD36" i="4"/>
  <c r="BD34" i="4"/>
  <c r="BD32" i="4"/>
  <c r="BD29" i="4"/>
  <c r="BD27" i="4"/>
  <c r="BD25" i="4"/>
  <c r="BD21" i="4"/>
  <c r="BD18" i="4"/>
  <c r="BD16" i="4"/>
  <c r="BI96" i="4"/>
  <c r="BI92" i="4"/>
  <c r="BI83" i="4"/>
  <c r="BI73" i="4"/>
  <c r="BM111" i="4"/>
  <c r="BM110" i="4"/>
  <c r="BM105" i="4"/>
  <c r="BM103" i="4"/>
  <c r="BM99" i="4"/>
  <c r="BM98" i="4"/>
  <c r="BM96" i="4"/>
  <c r="BM95" i="4"/>
  <c r="BM94" i="4"/>
  <c r="BM107" i="4"/>
  <c r="BM104" i="4"/>
  <c r="BM100" i="4"/>
  <c r="BM93" i="4"/>
  <c r="BM90" i="4"/>
  <c r="BM89" i="4"/>
  <c r="BM88" i="4"/>
  <c r="BM87" i="4"/>
  <c r="BM86" i="4"/>
  <c r="BM85" i="4"/>
  <c r="BM83" i="4"/>
  <c r="BM81" i="4"/>
  <c r="BM79" i="4"/>
  <c r="BM78" i="4"/>
  <c r="BM77" i="4"/>
  <c r="BM76" i="4"/>
  <c r="BM74" i="4"/>
  <c r="BM73" i="4"/>
  <c r="BM71" i="4"/>
  <c r="BM70" i="4"/>
  <c r="BM112" i="4"/>
  <c r="BM68" i="4"/>
  <c r="BM52" i="4"/>
  <c r="BM50" i="4"/>
  <c r="BM48" i="4"/>
  <c r="BM106" i="4"/>
  <c r="BM51" i="4"/>
  <c r="BM46" i="4"/>
  <c r="BM47" i="4"/>
  <c r="BM45" i="4"/>
  <c r="BM43" i="4"/>
  <c r="BM39" i="4"/>
  <c r="BM35" i="4"/>
  <c r="BM33" i="4"/>
  <c r="BM30" i="4"/>
  <c r="BM28" i="4"/>
  <c r="BM26" i="4"/>
  <c r="BM22" i="4"/>
  <c r="BM19" i="4"/>
  <c r="BM40" i="4"/>
  <c r="BM38" i="4"/>
  <c r="BM36" i="4"/>
  <c r="BM34" i="4"/>
  <c r="BM32" i="4"/>
  <c r="BM29" i="4"/>
  <c r="BM27" i="4"/>
  <c r="BM23" i="4"/>
  <c r="BM21" i="4"/>
  <c r="BM18" i="4"/>
  <c r="BM16" i="4"/>
  <c r="AG112" i="4"/>
  <c r="AG110" i="4"/>
  <c r="AG111" i="4"/>
  <c r="AG106" i="4"/>
  <c r="AG104" i="4"/>
  <c r="AG100" i="4"/>
  <c r="AG99" i="4"/>
  <c r="AG98" i="4"/>
  <c r="AG97" i="4"/>
  <c r="AG96" i="4"/>
  <c r="AG95" i="4"/>
  <c r="AG109" i="4"/>
  <c r="AG108" i="4"/>
  <c r="AG107" i="4"/>
  <c r="AG94" i="4"/>
  <c r="AG93" i="4"/>
  <c r="AG92" i="4"/>
  <c r="AG90" i="4"/>
  <c r="AG89" i="4"/>
  <c r="AG88" i="4"/>
  <c r="AG87" i="4"/>
  <c r="AG86" i="4"/>
  <c r="AG85" i="4"/>
  <c r="AG84" i="4"/>
  <c r="AG83" i="4"/>
  <c r="AG82" i="4"/>
  <c r="AG81" i="4"/>
  <c r="AG79" i="4"/>
  <c r="AG78" i="4"/>
  <c r="AG77" i="4"/>
  <c r="AG76" i="4"/>
  <c r="AG72" i="4"/>
  <c r="AG70" i="4"/>
  <c r="AG103" i="4"/>
  <c r="AK103" i="4"/>
  <c r="AK88" i="4"/>
  <c r="AP111" i="4"/>
  <c r="AP110" i="4"/>
  <c r="AP107" i="4"/>
  <c r="AP105" i="4"/>
  <c r="AP103" i="4"/>
  <c r="AP100" i="4"/>
  <c r="AP99" i="4"/>
  <c r="AP98" i="4"/>
  <c r="AP97" i="4"/>
  <c r="AP96" i="4"/>
  <c r="AP95" i="4"/>
  <c r="AP112" i="4"/>
  <c r="AP106" i="4"/>
  <c r="AP104" i="4"/>
  <c r="AP94" i="4"/>
  <c r="AP93" i="4"/>
  <c r="AP92" i="4"/>
  <c r="AP90" i="4"/>
  <c r="AP89" i="4"/>
  <c r="AP88" i="4"/>
  <c r="AP87" i="4"/>
  <c r="AP86" i="4"/>
  <c r="AP83" i="4"/>
  <c r="AP82" i="4"/>
  <c r="AP81" i="4"/>
  <c r="AP79" i="4"/>
  <c r="AP78" i="4"/>
  <c r="AP76" i="4"/>
  <c r="AP74" i="4"/>
  <c r="AP73" i="4"/>
  <c r="AP108" i="4"/>
  <c r="BB109" i="4"/>
  <c r="BB108" i="4"/>
  <c r="BB97" i="4"/>
  <c r="BB95" i="4"/>
  <c r="BB77" i="4"/>
  <c r="BB72" i="4"/>
  <c r="BB92" i="4"/>
  <c r="BB89" i="4"/>
  <c r="BB100" i="4"/>
  <c r="BB52" i="4"/>
  <c r="BB36" i="4"/>
  <c r="BB34" i="4"/>
  <c r="BB18" i="4"/>
  <c r="BB47" i="4"/>
  <c r="BB28" i="4"/>
  <c r="BB26" i="4"/>
  <c r="BF112" i="4"/>
  <c r="BF111" i="4"/>
  <c r="BF110" i="4"/>
  <c r="BF109" i="4"/>
  <c r="BF108" i="4"/>
  <c r="BF116" i="4"/>
  <c r="BF107" i="4"/>
  <c r="BF106" i="4"/>
  <c r="BF105" i="4"/>
  <c r="BF104" i="4"/>
  <c r="BF103" i="4"/>
  <c r="BF100" i="4"/>
  <c r="BF99" i="4"/>
  <c r="BF97" i="4"/>
  <c r="BF95" i="4"/>
  <c r="BF94" i="4"/>
  <c r="BF98" i="4"/>
  <c r="BF96" i="4"/>
  <c r="BF92" i="4"/>
  <c r="BF89" i="4"/>
  <c r="BF87" i="4"/>
  <c r="BF85" i="4"/>
  <c r="BF83" i="4"/>
  <c r="BF81" i="4"/>
  <c r="BF78" i="4"/>
  <c r="BF76" i="4"/>
  <c r="BF51" i="4"/>
  <c r="BF49" i="4"/>
  <c r="BF93" i="4"/>
  <c r="BF90" i="4"/>
  <c r="BF88" i="4"/>
  <c r="BF86" i="4"/>
  <c r="BF84" i="4"/>
  <c r="BF82" i="4"/>
  <c r="BF79" i="4"/>
  <c r="BF77" i="4"/>
  <c r="BF72" i="4"/>
  <c r="BF70" i="4"/>
  <c r="BF52" i="4"/>
  <c r="BF50" i="4"/>
  <c r="BF47" i="4"/>
  <c r="BF46" i="4"/>
  <c r="BF44" i="4"/>
  <c r="BF40" i="4"/>
  <c r="BF38" i="4"/>
  <c r="BF36" i="4"/>
  <c r="BF34" i="4"/>
  <c r="BF32" i="4"/>
  <c r="BF29" i="4"/>
  <c r="BF27" i="4"/>
  <c r="BF25" i="4"/>
  <c r="BF23" i="4"/>
  <c r="BF21" i="4"/>
  <c r="BF18" i="4"/>
  <c r="BF48" i="4"/>
  <c r="BF43" i="4"/>
  <c r="BF39" i="4"/>
  <c r="BF37" i="4"/>
  <c r="BF35" i="4"/>
  <c r="BF33" i="4"/>
  <c r="BF30" i="4"/>
  <c r="BF28" i="4"/>
  <c r="BF26" i="4"/>
  <c r="BF24" i="4"/>
  <c r="BF22" i="4"/>
  <c r="BF19" i="4"/>
  <c r="BF17" i="4"/>
  <c r="BK89" i="4"/>
  <c r="AH111" i="4"/>
  <c r="AH106" i="4"/>
  <c r="AH98" i="4"/>
  <c r="AH97" i="4"/>
  <c r="AH108" i="4"/>
  <c r="AH107" i="4"/>
  <c r="AH93" i="4"/>
  <c r="AH90" i="4"/>
  <c r="AH86" i="4"/>
  <c r="AH85" i="4"/>
  <c r="AH81" i="4"/>
  <c r="AH79" i="4"/>
  <c r="AH70" i="4"/>
  <c r="AM112" i="4"/>
  <c r="AM110" i="4"/>
  <c r="AM108" i="4"/>
  <c r="AM100" i="4"/>
  <c r="AM99" i="4"/>
  <c r="AM98" i="4"/>
  <c r="AM97" i="4"/>
  <c r="AM96" i="4"/>
  <c r="AM95" i="4"/>
  <c r="AM106" i="4"/>
  <c r="AM104" i="4"/>
  <c r="AM111" i="4"/>
  <c r="AM105" i="4"/>
  <c r="AM94" i="4"/>
  <c r="AM93" i="4"/>
  <c r="AM92" i="4"/>
  <c r="AM90" i="4"/>
  <c r="AM89" i="4"/>
  <c r="AM88" i="4"/>
  <c r="AM87" i="4"/>
  <c r="AM86" i="4"/>
  <c r="AM85" i="4"/>
  <c r="AM84" i="4"/>
  <c r="AM83" i="4"/>
  <c r="AM82" i="4"/>
  <c r="AM81" i="4"/>
  <c r="AM79" i="4"/>
  <c r="AM78" i="4"/>
  <c r="AM77" i="4"/>
  <c r="AM76" i="4"/>
  <c r="AM74" i="4"/>
  <c r="AM73" i="4"/>
  <c r="AM72" i="4"/>
  <c r="AM71" i="4"/>
  <c r="AM103" i="4"/>
  <c r="AM69" i="4"/>
  <c r="AM68" i="4"/>
  <c r="AM107" i="4"/>
  <c r="AQ112" i="4"/>
  <c r="AQ110" i="4"/>
  <c r="AQ109" i="4"/>
  <c r="AQ107" i="4"/>
  <c r="AQ105" i="4"/>
  <c r="AQ103" i="4"/>
  <c r="AQ100" i="4"/>
  <c r="AQ99" i="4"/>
  <c r="AQ98" i="4"/>
  <c r="AQ96" i="4"/>
  <c r="AQ95" i="4"/>
  <c r="AQ116" i="4"/>
  <c r="AQ111" i="4"/>
  <c r="AQ108" i="4"/>
  <c r="AQ106" i="4"/>
  <c r="AQ104" i="4"/>
  <c r="AQ94" i="4"/>
  <c r="AQ93" i="4"/>
  <c r="AQ92" i="4"/>
  <c r="AQ90" i="4"/>
  <c r="AQ89" i="4"/>
  <c r="AQ88" i="4"/>
  <c r="AQ87" i="4"/>
  <c r="AQ86" i="4"/>
  <c r="AQ83" i="4"/>
  <c r="AQ82" i="4"/>
  <c r="AQ81" i="4"/>
  <c r="AQ79" i="4"/>
  <c r="AQ78" i="4"/>
  <c r="AQ77" i="4"/>
  <c r="AQ76" i="4"/>
  <c r="AQ74" i="4"/>
  <c r="AQ71" i="4"/>
  <c r="AQ70" i="4"/>
  <c r="AQ68" i="4"/>
  <c r="AQ69" i="4"/>
  <c r="BC112" i="4"/>
  <c r="BC110" i="4"/>
  <c r="BC107" i="4"/>
  <c r="BC103" i="4"/>
  <c r="BC104" i="4"/>
  <c r="BC100" i="4"/>
  <c r="BC97" i="4"/>
  <c r="BC96" i="4"/>
  <c r="BC94" i="4"/>
  <c r="BC93" i="4"/>
  <c r="BC89" i="4"/>
  <c r="BC88" i="4"/>
  <c r="BC85" i="4"/>
  <c r="BC84" i="4"/>
  <c r="BC81" i="4"/>
  <c r="BC79" i="4"/>
  <c r="BC76" i="4"/>
  <c r="BC72" i="4"/>
  <c r="BC49" i="4"/>
  <c r="BC47" i="4"/>
  <c r="BC56" i="4"/>
  <c r="BC44" i="4"/>
  <c r="BC36" i="4"/>
  <c r="BC34" i="4"/>
  <c r="BC27" i="4"/>
  <c r="BC25" i="4"/>
  <c r="BC37" i="4"/>
  <c r="BC35" i="4"/>
  <c r="BC28" i="4"/>
  <c r="BC26" i="4"/>
  <c r="BC46" i="4"/>
  <c r="BH111" i="4"/>
  <c r="BH112" i="4"/>
  <c r="BH108" i="4"/>
  <c r="BH107" i="4"/>
  <c r="BH105" i="4"/>
  <c r="BH103" i="4"/>
  <c r="BH99" i="4"/>
  <c r="BH98" i="4"/>
  <c r="BH97" i="4"/>
  <c r="BH96" i="4"/>
  <c r="BH95" i="4"/>
  <c r="BH115" i="4"/>
  <c r="BH106" i="4"/>
  <c r="BH94" i="4"/>
  <c r="BH69" i="4"/>
  <c r="BH104" i="4"/>
  <c r="BH100" i="4"/>
  <c r="BH93" i="4"/>
  <c r="BH92" i="4"/>
  <c r="BH90" i="4"/>
  <c r="BH89" i="4"/>
  <c r="BH88" i="4"/>
  <c r="BH87" i="4"/>
  <c r="BH86" i="4"/>
  <c r="BH85" i="4"/>
  <c r="BH84" i="4"/>
  <c r="BH83" i="4"/>
  <c r="BH82" i="4"/>
  <c r="BH81" i="4"/>
  <c r="BH79" i="4"/>
  <c r="BH78" i="4"/>
  <c r="BH77" i="4"/>
  <c r="BH76" i="4"/>
  <c r="BH74" i="4"/>
  <c r="BH73" i="4"/>
  <c r="BH72" i="4"/>
  <c r="BH71" i="4"/>
  <c r="BH51" i="4"/>
  <c r="BH47" i="4"/>
  <c r="BH116" i="4"/>
  <c r="BH110" i="4"/>
  <c r="BH68" i="4"/>
  <c r="BH52" i="4"/>
  <c r="BH50" i="4"/>
  <c r="BH56" i="4"/>
  <c r="BH46" i="4"/>
  <c r="BH44" i="4"/>
  <c r="BH40" i="4"/>
  <c r="BH38" i="4"/>
  <c r="BH36" i="4"/>
  <c r="BH34" i="4"/>
  <c r="BH32" i="4"/>
  <c r="BH29" i="4"/>
  <c r="BH27" i="4"/>
  <c r="BH25" i="4"/>
  <c r="BH48" i="4"/>
  <c r="BH45" i="4"/>
  <c r="BH43" i="4"/>
  <c r="BH39" i="4"/>
  <c r="BH37" i="4"/>
  <c r="BH35" i="4"/>
  <c r="BH33" i="4"/>
  <c r="BH30" i="4"/>
  <c r="BH28" i="4"/>
  <c r="BH26" i="4"/>
  <c r="BH24" i="4"/>
  <c r="BL116" i="4"/>
  <c r="BL107" i="4"/>
  <c r="BL111" i="4"/>
  <c r="BL109" i="4"/>
  <c r="BL112" i="4"/>
  <c r="BL108" i="4"/>
  <c r="BL106" i="4"/>
  <c r="BL104" i="4"/>
  <c r="BL100" i="4"/>
  <c r="BL110" i="4"/>
  <c r="BL105" i="4"/>
  <c r="BL103" i="4"/>
  <c r="BL99" i="4"/>
  <c r="BL98" i="4"/>
  <c r="BL96" i="4"/>
  <c r="BL95" i="4"/>
  <c r="BL69" i="4"/>
  <c r="BL94" i="4"/>
  <c r="BL93" i="4"/>
  <c r="BL92" i="4"/>
  <c r="BL90" i="4"/>
  <c r="BL89" i="4"/>
  <c r="BL88" i="4"/>
  <c r="BL87" i="4"/>
  <c r="BL86" i="4"/>
  <c r="BL83" i="4"/>
  <c r="BL82" i="4"/>
  <c r="BL81" i="4"/>
  <c r="BL79" i="4"/>
  <c r="BL78" i="4"/>
  <c r="BL77" i="4"/>
  <c r="BL76" i="4"/>
  <c r="BL74" i="4"/>
  <c r="BL71" i="4"/>
  <c r="BL70" i="4"/>
  <c r="BL51" i="4"/>
  <c r="BL49" i="4"/>
  <c r="BL47" i="4"/>
  <c r="BL68" i="4"/>
  <c r="BL52" i="4"/>
  <c r="BL50" i="4"/>
  <c r="BL56" i="4"/>
  <c r="BL44" i="4"/>
  <c r="BL40" i="4"/>
  <c r="BL38" i="4"/>
  <c r="BL36" i="4"/>
  <c r="BL34" i="4"/>
  <c r="BL32" i="4"/>
  <c r="BL29" i="4"/>
  <c r="BL27" i="4"/>
  <c r="BL46" i="4"/>
  <c r="BL45" i="4"/>
  <c r="BL43" i="4"/>
  <c r="BL39" i="4"/>
  <c r="BL35" i="4"/>
  <c r="BL33" i="4"/>
  <c r="BL30" i="4"/>
  <c r="BL28" i="4"/>
  <c r="BL26" i="4"/>
  <c r="BL24" i="4"/>
  <c r="BL48" i="4"/>
  <c r="BE7" i="4"/>
  <c r="BH8" i="4"/>
  <c r="BL8" i="4"/>
  <c r="BH9" i="4"/>
  <c r="BM9" i="4"/>
  <c r="BB10" i="4"/>
  <c r="BF10" i="4"/>
  <c r="BM11" i="4"/>
  <c r="BB12" i="4"/>
  <c r="BF12" i="4"/>
  <c r="BI13" i="4"/>
  <c r="BM13" i="4"/>
  <c r="BE16" i="4"/>
  <c r="BE17" i="4"/>
  <c r="BL17" i="4"/>
  <c r="BE18" i="4"/>
  <c r="BE21" i="4"/>
  <c r="BA22" i="4"/>
  <c r="BH23" i="4"/>
  <c r="BM8" i="4"/>
  <c r="BI9" i="4"/>
  <c r="BC12" i="4"/>
  <c r="BH12" i="4"/>
  <c r="BH14" i="4"/>
  <c r="BL14" i="4"/>
  <c r="BF16" i="4"/>
  <c r="BL16" i="4"/>
  <c r="BH17" i="4"/>
  <c r="BM17" i="4"/>
  <c r="BH18" i="4"/>
  <c r="BL19" i="4"/>
  <c r="BH21" i="4"/>
  <c r="BC22" i="4"/>
  <c r="BL22" i="4"/>
  <c r="BL23" i="4"/>
  <c r="AF108" i="4"/>
  <c r="AF112" i="4"/>
  <c r="AF110" i="4"/>
  <c r="AF109" i="4"/>
  <c r="AF107" i="4"/>
  <c r="AF105" i="4"/>
  <c r="AF103" i="4"/>
  <c r="AF111" i="4"/>
  <c r="AF106" i="4"/>
  <c r="AF104" i="4"/>
  <c r="AF100" i="4"/>
  <c r="AF99" i="4"/>
  <c r="AF98" i="4"/>
  <c r="AF97" i="4"/>
  <c r="AF96" i="4"/>
  <c r="AF94" i="4"/>
  <c r="AF93" i="4"/>
  <c r="AF92" i="4"/>
  <c r="AF90" i="4"/>
  <c r="AF89" i="4"/>
  <c r="AF88" i="4"/>
  <c r="AF87" i="4"/>
  <c r="AF86" i="4"/>
  <c r="AF85" i="4"/>
  <c r="AF84" i="4"/>
  <c r="AF83" i="4"/>
  <c r="AF82" i="4"/>
  <c r="AF81" i="4"/>
  <c r="AF79" i="4"/>
  <c r="AF78" i="4"/>
  <c r="AF77" i="4"/>
  <c r="AF76" i="4"/>
  <c r="AF72" i="4"/>
  <c r="AF70" i="4"/>
  <c r="AF67" i="4"/>
  <c r="AF95" i="4"/>
  <c r="AJ111" i="4"/>
  <c r="AJ109" i="4"/>
  <c r="AJ108" i="4"/>
  <c r="AJ112" i="4"/>
  <c r="AJ107" i="4"/>
  <c r="AJ103" i="4"/>
  <c r="AJ110" i="4"/>
  <c r="AJ100" i="4"/>
  <c r="AJ99" i="4"/>
  <c r="AJ98" i="4"/>
  <c r="AJ97" i="4"/>
  <c r="AJ96" i="4"/>
  <c r="AJ95" i="4"/>
  <c r="AJ106" i="4"/>
  <c r="AJ104" i="4"/>
  <c r="AJ93" i="4"/>
  <c r="AJ92" i="4"/>
  <c r="AJ90" i="4"/>
  <c r="AJ89" i="4"/>
  <c r="AJ88" i="4"/>
  <c r="AJ87" i="4"/>
  <c r="AJ86" i="4"/>
  <c r="AJ85" i="4"/>
  <c r="AJ84" i="4"/>
  <c r="AJ83" i="4"/>
  <c r="AJ82" i="4"/>
  <c r="AJ81" i="4"/>
  <c r="AJ79" i="4"/>
  <c r="AJ78" i="4"/>
  <c r="AJ77" i="4"/>
  <c r="AJ76" i="4"/>
  <c r="AJ73" i="4"/>
  <c r="AJ70" i="4"/>
  <c r="AJ116" i="4"/>
  <c r="AO108" i="4"/>
  <c r="AO111" i="4"/>
  <c r="AO109" i="4"/>
  <c r="AO106" i="4"/>
  <c r="AO104" i="4"/>
  <c r="AO110" i="4"/>
  <c r="AO116" i="4"/>
  <c r="AO107" i="4"/>
  <c r="AO105" i="4"/>
  <c r="AO103" i="4"/>
  <c r="AO100" i="4"/>
  <c r="AO99" i="4"/>
  <c r="AO98" i="4"/>
  <c r="AO97" i="4"/>
  <c r="AO96" i="4"/>
  <c r="AO95" i="4"/>
  <c r="AO112" i="4"/>
  <c r="AO94" i="4"/>
  <c r="AO93" i="4"/>
  <c r="AO92" i="4"/>
  <c r="AO90" i="4"/>
  <c r="AO89" i="4"/>
  <c r="AO88" i="4"/>
  <c r="AO87" i="4"/>
  <c r="AO86" i="4"/>
  <c r="AO85" i="4"/>
  <c r="AO83" i="4"/>
  <c r="AO82" i="4"/>
  <c r="AO81" i="4"/>
  <c r="AO79" i="4"/>
  <c r="AO78" i="4"/>
  <c r="AO77" i="4"/>
  <c r="AO76" i="4"/>
  <c r="AO74" i="4"/>
  <c r="AO73" i="4"/>
  <c r="AO72" i="4"/>
  <c r="AO71" i="4"/>
  <c r="AO70" i="4"/>
  <c r="AO69" i="4"/>
  <c r="AO68" i="4"/>
  <c r="BA107" i="4"/>
  <c r="BA87" i="4"/>
  <c r="BA76" i="4"/>
  <c r="BA43" i="4"/>
  <c r="BA44" i="4"/>
  <c r="BE111" i="4"/>
  <c r="BE109" i="4"/>
  <c r="BE110" i="4"/>
  <c r="BE106" i="4"/>
  <c r="BE104" i="4"/>
  <c r="BE100" i="4"/>
  <c r="BE99" i="4"/>
  <c r="BE98" i="4"/>
  <c r="BE97" i="4"/>
  <c r="BE96" i="4"/>
  <c r="BE95" i="4"/>
  <c r="BE94" i="4"/>
  <c r="BE112" i="4"/>
  <c r="BE108" i="4"/>
  <c r="BE107" i="4"/>
  <c r="BE103" i="4"/>
  <c r="BE93" i="4"/>
  <c r="BE92" i="4"/>
  <c r="BE90" i="4"/>
  <c r="BE89" i="4"/>
  <c r="BE88" i="4"/>
  <c r="BE87" i="4"/>
  <c r="BE86" i="4"/>
  <c r="BE85" i="4"/>
  <c r="BE84" i="4"/>
  <c r="BE83" i="4"/>
  <c r="BE82" i="4"/>
  <c r="BE81" i="4"/>
  <c r="BE79" i="4"/>
  <c r="BE78" i="4"/>
  <c r="BE77" i="4"/>
  <c r="BE76" i="4"/>
  <c r="BE72" i="4"/>
  <c r="BE70" i="4"/>
  <c r="BE52" i="4"/>
  <c r="BE50" i="4"/>
  <c r="BE48" i="4"/>
  <c r="BE46" i="4"/>
  <c r="BE51" i="4"/>
  <c r="BE49" i="4"/>
  <c r="BE45" i="4"/>
  <c r="BE43" i="4"/>
  <c r="BE39" i="4"/>
  <c r="BE37" i="4"/>
  <c r="BE35" i="4"/>
  <c r="BE33" i="4"/>
  <c r="BE30" i="4"/>
  <c r="BE28" i="4"/>
  <c r="BE26" i="4"/>
  <c r="BE24" i="4"/>
  <c r="BE47" i="4"/>
  <c r="BE44" i="4"/>
  <c r="BE40" i="4"/>
  <c r="BE38" i="4"/>
  <c r="BE36" i="4"/>
  <c r="BE34" i="4"/>
  <c r="BE32" i="4"/>
  <c r="BE29" i="4"/>
  <c r="BE27" i="4"/>
  <c r="BE25" i="4"/>
  <c r="BE23" i="4"/>
  <c r="BJ111" i="4"/>
  <c r="BJ104" i="4"/>
  <c r="BJ89" i="4"/>
  <c r="BJ79" i="4"/>
  <c r="BJ70" i="4"/>
  <c r="BJ46" i="4"/>
  <c r="BJ30" i="4"/>
  <c r="BJ38" i="4"/>
  <c r="BH7" i="4"/>
  <c r="BJ8" i="4"/>
  <c r="BD10" i="4"/>
  <c r="BI10" i="4"/>
  <c r="BM10" i="4"/>
  <c r="BD12" i="4"/>
  <c r="BI12" i="4"/>
  <c r="BM12" i="4"/>
  <c r="BI14" i="4"/>
  <c r="BM14" i="4"/>
  <c r="BB16" i="4"/>
  <c r="BH16" i="4"/>
  <c r="BC17" i="4"/>
  <c r="BI17" i="4"/>
  <c r="BE19" i="4"/>
  <c r="BE22" i="4"/>
  <c r="BH11" i="4"/>
  <c r="BL11" i="4"/>
  <c r="BE12" i="4"/>
  <c r="BJ12" i="4"/>
  <c r="BH13" i="4"/>
  <c r="BC16" i="4"/>
  <c r="BD17" i="4"/>
  <c r="BC18" i="4"/>
  <c r="BL18" i="4"/>
  <c r="BH19" i="4"/>
  <c r="BC21" i="4"/>
  <c r="BL21" i="4"/>
  <c r="BH22" i="4"/>
  <c r="BC23" i="4"/>
  <c r="BL55" i="4"/>
  <c r="Q54" i="4"/>
  <c r="AV54" i="4"/>
  <c r="P55" i="4"/>
  <c r="BD55" i="4"/>
  <c r="BI55" i="4"/>
  <c r="BM55" i="4"/>
  <c r="O56" i="4"/>
  <c r="AT56" i="4"/>
  <c r="AK67" i="4"/>
  <c r="AW54" i="4"/>
  <c r="BE55" i="4"/>
  <c r="P56" i="4"/>
  <c r="AU56" i="4"/>
  <c r="AY56" i="4"/>
  <c r="BD56" i="4"/>
  <c r="BI56" i="4"/>
  <c r="BM56" i="4"/>
  <c r="AX54" i="4"/>
  <c r="BB55" i="4"/>
  <c r="BF55" i="4"/>
  <c r="BA56" i="4"/>
  <c r="BE56" i="4"/>
  <c r="AH115" i="4"/>
  <c r="BC55" i="4"/>
  <c r="BH55" i="4"/>
  <c r="BB56" i="4"/>
  <c r="BF56" i="4"/>
  <c r="BF115" i="4"/>
  <c r="BB115" i="4"/>
  <c r="AR115" i="4"/>
  <c r="AI115" i="4"/>
  <c r="BD115" i="4"/>
  <c r="AQ115" i="4"/>
  <c r="AK115" i="4"/>
  <c r="AF115" i="4"/>
  <c r="BI115" i="4"/>
  <c r="BC115" i="4"/>
  <c r="AP115" i="4"/>
  <c r="AJ115" i="4"/>
  <c r="BE115" i="4"/>
  <c r="AG115" i="4"/>
  <c r="BM115" i="4"/>
  <c r="AO115" i="4"/>
  <c r="BL115" i="4"/>
  <c r="AM115" i="4"/>
  <c r="AX115" i="4"/>
  <c r="AT115" i="4"/>
  <c r="AJ72" i="4"/>
  <c r="AH72" i="4"/>
  <c r="BM69" i="4"/>
  <c r="O115" i="4"/>
  <c r="AY116" i="4"/>
  <c r="AX116" i="4"/>
  <c r="AY114" i="4"/>
  <c r="AX114" i="4"/>
  <c r="BM116" i="4"/>
  <c r="BI116" i="4"/>
  <c r="BD116" i="4"/>
  <c r="AP116" i="4"/>
  <c r="AK116" i="4"/>
  <c r="AG116" i="4"/>
  <c r="AF116" i="4"/>
  <c r="AM116" i="4"/>
  <c r="AR116" i="4"/>
  <c r="BE116" i="4"/>
  <c r="BI69" i="4"/>
  <c r="AK72" i="4"/>
  <c r="AK82" i="4"/>
  <c r="AK90" i="4"/>
  <c r="AK96" i="4"/>
  <c r="AK107" i="4"/>
  <c r="BI23" i="4"/>
  <c r="BI40" i="4"/>
  <c r="BI26" i="4"/>
  <c r="BI45" i="4"/>
  <c r="BI71" i="4"/>
  <c r="BI81" i="4"/>
  <c r="BI89" i="4"/>
  <c r="BI94" i="4"/>
  <c r="BI105" i="4"/>
  <c r="BL72" i="4"/>
  <c r="AN34" i="4"/>
  <c r="AN22" i="4"/>
  <c r="AN30" i="4"/>
  <c r="AJ55" i="4"/>
  <c r="AI49" i="4"/>
  <c r="AK46" i="4"/>
  <c r="AI39" i="4"/>
  <c r="AK36" i="4"/>
  <c r="AI30" i="4"/>
  <c r="AK27" i="4"/>
  <c r="AK24" i="4"/>
  <c r="AJ21" i="4"/>
  <c r="AI17" i="4"/>
  <c r="AO56" i="4"/>
  <c r="AM51" i="4"/>
  <c r="AO47" i="4"/>
  <c r="AQ36" i="4"/>
  <c r="AM28" i="4"/>
  <c r="AM19" i="4"/>
  <c r="AK83" i="4"/>
  <c r="AK92" i="4"/>
  <c r="AK97" i="4"/>
  <c r="BI25" i="4"/>
  <c r="BI44" i="4"/>
  <c r="BI28" i="4"/>
  <c r="BI51" i="4"/>
  <c r="BI72" i="4"/>
  <c r="BI82" i="4"/>
  <c r="BI90" i="4"/>
  <c r="BI95" i="4"/>
  <c r="BI107" i="4"/>
  <c r="AT55" i="4"/>
  <c r="BH70" i="4"/>
  <c r="BH10" i="4"/>
  <c r="AM11" i="4"/>
  <c r="AM37" i="4"/>
  <c r="AM40" i="4"/>
  <c r="AM45" i="4"/>
  <c r="AM48" i="4"/>
  <c r="AM10" i="4"/>
  <c r="AM24" i="4"/>
  <c r="AM27" i="4"/>
  <c r="AM30" i="4"/>
  <c r="AM34" i="4"/>
  <c r="AM8" i="4"/>
  <c r="AM17" i="4"/>
  <c r="AM21" i="4"/>
  <c r="AM47" i="4"/>
  <c r="AM50" i="4"/>
  <c r="AM13" i="4"/>
  <c r="AM33" i="4"/>
  <c r="AM36" i="4"/>
  <c r="AM39" i="4"/>
  <c r="AM44" i="4"/>
  <c r="AM7" i="4"/>
  <c r="AM70" i="4"/>
  <c r="AM16" i="4"/>
  <c r="AM43" i="4"/>
  <c r="AM46" i="4"/>
  <c r="AM52" i="4"/>
  <c r="AH55" i="4"/>
  <c r="AF52" i="4"/>
  <c r="AH49" i="4"/>
  <c r="AJ46" i="4"/>
  <c r="AF44" i="4"/>
  <c r="AH39" i="4"/>
  <c r="AJ36" i="4"/>
  <c r="AF34" i="4"/>
  <c r="AH30" i="4"/>
  <c r="AJ27" i="4"/>
  <c r="AI21" i="4"/>
  <c r="AI12" i="4"/>
  <c r="AQ50" i="4"/>
  <c r="AO46" i="4"/>
  <c r="AQ40" i="4"/>
  <c r="AO23" i="4"/>
  <c r="AM18" i="4"/>
  <c r="AR8" i="4"/>
  <c r="AK19" i="4"/>
  <c r="AK29" i="4"/>
  <c r="AK34" i="4"/>
  <c r="AK38" i="4"/>
  <c r="AK44" i="4"/>
  <c r="AK48" i="4"/>
  <c r="AK52" i="4"/>
  <c r="AK12" i="4"/>
  <c r="AK16" i="4"/>
  <c r="AK25" i="4"/>
  <c r="AK22" i="4"/>
  <c r="AK28" i="4"/>
  <c r="AK33" i="4"/>
  <c r="AK37" i="4"/>
  <c r="AK43" i="4"/>
  <c r="AK47" i="4"/>
  <c r="AK51" i="4"/>
  <c r="AK21" i="4"/>
  <c r="AK23" i="4"/>
  <c r="AM55" i="4"/>
  <c r="AO50" i="4"/>
  <c r="AR39" i="4"/>
  <c r="AM32" i="4"/>
  <c r="AQ26" i="4"/>
  <c r="AM23" i="4"/>
  <c r="AR17" i="4"/>
  <c r="BA82" i="4"/>
  <c r="BI11" i="4"/>
  <c r="AK76" i="4"/>
  <c r="AK85" i="4"/>
  <c r="AK94" i="4"/>
  <c r="AK99" i="4"/>
  <c r="AK112" i="4"/>
  <c r="BI29" i="4"/>
  <c r="BI47" i="4"/>
  <c r="BI33" i="4"/>
  <c r="BI50" i="4"/>
  <c r="BI74" i="4"/>
  <c r="BI84" i="4"/>
  <c r="BI93" i="4"/>
  <c r="BI97" i="4"/>
  <c r="BI110" i="4"/>
  <c r="BL7" i="4"/>
  <c r="AJ18" i="4"/>
  <c r="AJ26" i="4"/>
  <c r="AJ12" i="4"/>
  <c r="AJ16" i="4"/>
  <c r="AJ25" i="4"/>
  <c r="AJ22" i="4"/>
  <c r="AJ28" i="4"/>
  <c r="AJ33" i="4"/>
  <c r="AJ37" i="4"/>
  <c r="AJ43" i="4"/>
  <c r="AJ47" i="4"/>
  <c r="AJ51" i="4"/>
  <c r="AJ17" i="4"/>
  <c r="AJ30" i="4"/>
  <c r="AJ35" i="4"/>
  <c r="AJ39" i="4"/>
  <c r="AJ49" i="4"/>
  <c r="AQ56" i="4"/>
  <c r="AI56" i="4"/>
  <c r="AR56" i="4"/>
  <c r="AK56" i="4"/>
  <c r="AF56" i="4"/>
  <c r="AK45" i="4"/>
  <c r="AI38" i="4"/>
  <c r="AK35" i="4"/>
  <c r="AK26" i="4"/>
  <c r="AJ23" i="4"/>
  <c r="AH19" i="4"/>
  <c r="AH16" i="4"/>
  <c r="AO49" i="4"/>
  <c r="AQ39" i="4"/>
  <c r="AQ30" i="4"/>
  <c r="AO26" i="4"/>
  <c r="AM22" i="4"/>
  <c r="AO17" i="4"/>
  <c r="AM12" i="4"/>
  <c r="BA83" i="4"/>
  <c r="AK77" i="4"/>
  <c r="AK86" i="4"/>
  <c r="AK104" i="4"/>
  <c r="AK100" i="4"/>
  <c r="BI32" i="4"/>
  <c r="BI49" i="4"/>
  <c r="BI35" i="4"/>
  <c r="BI52" i="4"/>
  <c r="BI76" i="4"/>
  <c r="BI85" i="4"/>
  <c r="BI109" i="4"/>
  <c r="BI98" i="4"/>
  <c r="BI112" i="4"/>
  <c r="AW114" i="4"/>
  <c r="AW116" i="4"/>
  <c r="BC67" i="4"/>
  <c r="AR13" i="4"/>
  <c r="AR18" i="4"/>
  <c r="AR23" i="4"/>
  <c r="AR27" i="4"/>
  <c r="AR32" i="4"/>
  <c r="AR36" i="4"/>
  <c r="AR40" i="4"/>
  <c r="AR46" i="4"/>
  <c r="AR50" i="4"/>
  <c r="AR10" i="4"/>
  <c r="AR26" i="4"/>
  <c r="AR29" i="4"/>
  <c r="AR33" i="4"/>
  <c r="AR9" i="4"/>
  <c r="AR11" i="4"/>
  <c r="AR12" i="4"/>
  <c r="AR14" i="4"/>
  <c r="AR16" i="4"/>
  <c r="AR19" i="4"/>
  <c r="AR21" i="4"/>
  <c r="AR22" i="4"/>
  <c r="AR24" i="4"/>
  <c r="AR25" i="4"/>
  <c r="AR28" i="4"/>
  <c r="AR30" i="4"/>
  <c r="AR34" i="4"/>
  <c r="AR35" i="4"/>
  <c r="AR37" i="4"/>
  <c r="AR38" i="4"/>
  <c r="AR43" i="4"/>
  <c r="AR44" i="4"/>
  <c r="AR47" i="4"/>
  <c r="AR48" i="4"/>
  <c r="AR51" i="4"/>
  <c r="AR52" i="4"/>
  <c r="AI22" i="4"/>
  <c r="AI28" i="4"/>
  <c r="AI33" i="4"/>
  <c r="AI37" i="4"/>
  <c r="AI43" i="4"/>
  <c r="AI47" i="4"/>
  <c r="AI51" i="4"/>
  <c r="AI23" i="4"/>
  <c r="AI19" i="4"/>
  <c r="AI79" i="4"/>
  <c r="AI11" i="4"/>
  <c r="AI18" i="4"/>
  <c r="AI24" i="4"/>
  <c r="AI27" i="4"/>
  <c r="AI32" i="4"/>
  <c r="AI36" i="4"/>
  <c r="AI40" i="4"/>
  <c r="AI46" i="4"/>
  <c r="AI50" i="4"/>
  <c r="AI83" i="4"/>
  <c r="AI7" i="4"/>
  <c r="AI10" i="4"/>
  <c r="AI26" i="4"/>
  <c r="AJ56" i="4"/>
  <c r="AK50" i="4"/>
  <c r="AI45" i="4"/>
  <c r="AK40" i="4"/>
  <c r="AI35" i="4"/>
  <c r="AK32" i="4"/>
  <c r="AF19" i="4"/>
  <c r="AK10" i="4"/>
  <c r="AM35" i="4"/>
  <c r="AQ29" i="4"/>
  <c r="AM26" i="4"/>
  <c r="BI8" i="4"/>
  <c r="AK78" i="4"/>
  <c r="AK87" i="4"/>
  <c r="AK106" i="4"/>
  <c r="AK108" i="4"/>
  <c r="BI16" i="4"/>
  <c r="BI34" i="4"/>
  <c r="BI19" i="4"/>
  <c r="BI37" i="4"/>
  <c r="BI67" i="4"/>
  <c r="BI77" i="4"/>
  <c r="BI86" i="4"/>
  <c r="BI100" i="4"/>
  <c r="BI99" i="4"/>
  <c r="BL9" i="4"/>
  <c r="BD83" i="4"/>
  <c r="BD23" i="4"/>
  <c r="BD79" i="4"/>
  <c r="AQ73" i="4"/>
  <c r="AQ72" i="4"/>
  <c r="AQ13" i="4"/>
  <c r="AQ7" i="4"/>
  <c r="AQ16" i="4"/>
  <c r="AQ19" i="4"/>
  <c r="AQ23" i="4"/>
  <c r="AQ49" i="4"/>
  <c r="AQ52" i="4"/>
  <c r="AQ12" i="4"/>
  <c r="AQ35" i="4"/>
  <c r="AQ38" i="4"/>
  <c r="AQ43" i="4"/>
  <c r="AQ46" i="4"/>
  <c r="AQ9" i="4"/>
  <c r="AQ22" i="4"/>
  <c r="AQ28" i="4"/>
  <c r="AQ32" i="4"/>
  <c r="AQ14" i="4"/>
  <c r="AQ18" i="4"/>
  <c r="AQ45" i="4"/>
  <c r="AQ48" i="4"/>
  <c r="AQ51" i="4"/>
  <c r="AQ8" i="4"/>
  <c r="AQ17" i="4"/>
  <c r="AQ21" i="4"/>
  <c r="AQ24" i="4"/>
  <c r="AQ27" i="4"/>
  <c r="AH12" i="4"/>
  <c r="AH17" i="4"/>
  <c r="AH25" i="4"/>
  <c r="AH22" i="4"/>
  <c r="AH11" i="4"/>
  <c r="AH18" i="4"/>
  <c r="AH24" i="4"/>
  <c r="AH27" i="4"/>
  <c r="AH32" i="4"/>
  <c r="AH36" i="4"/>
  <c r="AH40" i="4"/>
  <c r="AH46" i="4"/>
  <c r="AH50" i="4"/>
  <c r="AH21" i="4"/>
  <c r="AH23" i="4"/>
  <c r="AH29" i="4"/>
  <c r="AH34" i="4"/>
  <c r="AH38" i="4"/>
  <c r="AH44" i="4"/>
  <c r="AH48" i="4"/>
  <c r="AH52" i="4"/>
  <c r="AH56" i="4"/>
  <c r="AJ50" i="4"/>
  <c r="AF48" i="4"/>
  <c r="AH45" i="4"/>
  <c r="AJ40" i="4"/>
  <c r="AF38" i="4"/>
  <c r="AH35" i="4"/>
  <c r="AJ32" i="4"/>
  <c r="AF29" i="4"/>
  <c r="AF23" i="4"/>
  <c r="AK18" i="4"/>
  <c r="AJ10" i="4"/>
  <c r="AQ44" i="4"/>
  <c r="AO38" i="4"/>
  <c r="AQ34" i="4"/>
  <c r="AM25" i="4"/>
  <c r="AO16" i="4"/>
  <c r="AQ10" i="4"/>
  <c r="BI18" i="4"/>
  <c r="BI36" i="4"/>
  <c r="BI22" i="4"/>
  <c r="BI39" i="4"/>
  <c r="BI68" i="4"/>
  <c r="BI78" i="4"/>
  <c r="BI87" i="4"/>
  <c r="BI104" i="4"/>
  <c r="BI111" i="4"/>
  <c r="BL13" i="4"/>
  <c r="BL73" i="4"/>
  <c r="AH47" i="4"/>
  <c r="AH37" i="4"/>
  <c r="AF32" i="4"/>
  <c r="AH28" i="4"/>
  <c r="AH10" i="4"/>
  <c r="AO52" i="4"/>
  <c r="AM38" i="4"/>
  <c r="AQ33" i="4"/>
  <c r="AM29" i="4"/>
  <c r="AK81" i="4"/>
  <c r="AK89" i="4"/>
  <c r="AK95" i="4"/>
  <c r="BI21" i="4"/>
  <c r="BI38" i="4"/>
  <c r="BI24" i="4"/>
  <c r="BI43" i="4"/>
  <c r="BI70" i="4"/>
  <c r="BI79" i="4"/>
  <c r="BI88" i="4"/>
  <c r="BI106" i="4"/>
  <c r="AO12" i="4"/>
  <c r="AO28" i="4"/>
  <c r="AO32" i="4"/>
  <c r="AO35" i="4"/>
  <c r="AO9" i="4"/>
  <c r="AO14" i="4"/>
  <c r="AO18" i="4"/>
  <c r="AO22" i="4"/>
  <c r="AO48" i="4"/>
  <c r="AO51" i="4"/>
  <c r="AO11" i="4"/>
  <c r="AO34" i="4"/>
  <c r="AO37" i="4"/>
  <c r="AO40" i="4"/>
  <c r="AO45" i="4"/>
  <c r="AO8" i="4"/>
  <c r="AO21" i="4"/>
  <c r="AO24" i="4"/>
  <c r="AO27" i="4"/>
  <c r="AO30" i="4"/>
  <c r="AO10" i="4"/>
  <c r="AO13" i="4"/>
  <c r="AO29" i="4"/>
  <c r="AO33" i="4"/>
  <c r="AO36" i="4"/>
  <c r="AO39" i="4"/>
  <c r="AF16" i="4"/>
  <c r="AF24" i="4"/>
  <c r="AF21" i="4"/>
  <c r="AF30" i="4"/>
  <c r="AF35" i="4"/>
  <c r="AF39" i="4"/>
  <c r="AF45" i="4"/>
  <c r="AF49" i="4"/>
  <c r="AF10" i="4"/>
  <c r="AF17" i="4"/>
  <c r="AF26" i="4"/>
  <c r="AF12" i="4"/>
  <c r="AF25" i="4"/>
  <c r="AF28" i="4"/>
  <c r="AF33" i="4"/>
  <c r="AF37" i="4"/>
  <c r="AF43" i="4"/>
  <c r="AF47" i="4"/>
  <c r="AF51" i="4"/>
  <c r="AR55" i="4"/>
  <c r="AG55" i="4"/>
  <c r="AO55" i="4"/>
  <c r="AP55" i="4"/>
  <c r="AI55" i="4"/>
  <c r="AQ55" i="4"/>
  <c r="AK55" i="4"/>
  <c r="AI52" i="4"/>
  <c r="AK49" i="4"/>
  <c r="AI44" i="4"/>
  <c r="AK39" i="4"/>
  <c r="AI34" i="4"/>
  <c r="AK30" i="4"/>
  <c r="AF22" i="4"/>
  <c r="AK17" i="4"/>
  <c r="AP56" i="4"/>
  <c r="AQ47" i="4"/>
  <c r="AO43" i="4"/>
  <c r="AO19" i="4"/>
  <c r="AM14" i="4"/>
  <c r="AG19" i="4"/>
  <c r="AG16" i="4"/>
  <c r="AP50" i="4"/>
  <c r="AP47" i="4"/>
  <c r="AP44" i="4"/>
  <c r="AP40" i="4"/>
  <c r="AP37" i="4"/>
  <c r="AP34" i="4"/>
  <c r="AP17" i="4"/>
  <c r="AP22" i="4"/>
  <c r="AP30" i="4"/>
  <c r="AP35" i="4"/>
  <c r="AP39" i="4"/>
  <c r="AP45" i="4"/>
  <c r="AG49" i="4"/>
  <c r="AG39" i="4"/>
  <c r="AG35" i="4"/>
  <c r="AG30" i="4"/>
  <c r="AP51" i="4"/>
  <c r="AP48" i="4"/>
  <c r="AP14" i="4"/>
  <c r="AP32" i="4"/>
  <c r="AP28" i="4"/>
  <c r="AG50" i="4"/>
  <c r="AG46" i="4"/>
  <c r="AG40" i="4"/>
  <c r="AG36" i="4"/>
  <c r="AG32" i="4"/>
  <c r="AG27" i="4"/>
  <c r="AG24" i="4"/>
  <c r="AG18" i="4"/>
  <c r="AP46" i="4"/>
  <c r="AP43" i="4"/>
  <c r="AP38" i="4"/>
  <c r="R54" i="4"/>
  <c r="T54" i="4"/>
  <c r="AF54" i="4"/>
  <c r="AN54" i="4"/>
  <c r="AH54" i="4"/>
  <c r="BD54" i="4"/>
  <c r="BF54" i="4"/>
  <c r="BL54" i="4"/>
  <c r="AM54" i="4"/>
  <c r="AQ54" i="4"/>
  <c r="AR54" i="4"/>
  <c r="BE54" i="4"/>
  <c r="AG54" i="4"/>
  <c r="AJ54" i="4"/>
  <c r="BC54" i="4"/>
  <c r="AI54" i="4"/>
  <c r="AK54" i="4"/>
  <c r="BM54" i="4"/>
  <c r="AP54" i="4"/>
  <c r="BH54" i="4"/>
  <c r="BI54" i="4"/>
  <c r="BB54" i="4"/>
  <c r="AO54" i="4"/>
  <c r="B114" i="4"/>
  <c r="BK114" i="4" s="1"/>
  <c r="BC45" i="4"/>
  <c r="BC105" i="4"/>
  <c r="BF45" i="4"/>
  <c r="BB105" i="4"/>
  <c r="AG45" i="4"/>
  <c r="BE105" i="4"/>
  <c r="BB45" i="4"/>
  <c r="AG105" i="4"/>
  <c r="BD45" i="4"/>
  <c r="AK105" i="4"/>
  <c r="AJ45" i="4"/>
  <c r="AJ105" i="4"/>
  <c r="BK33" i="4"/>
  <c r="BK90" i="4"/>
  <c r="BK111" i="4"/>
  <c r="BK14" i="4"/>
  <c r="BK21" i="4"/>
  <c r="AW55" i="4"/>
  <c r="AU55" i="4"/>
  <c r="AY55" i="4"/>
  <c r="BK112" i="4"/>
  <c r="BK108" i="4"/>
  <c r="BK104" i="4"/>
  <c r="BK98" i="4"/>
  <c r="BK92" i="4"/>
  <c r="BK83" i="4"/>
  <c r="BK73" i="4"/>
  <c r="BK93" i="4"/>
  <c r="BK74" i="4"/>
  <c r="BK52" i="4"/>
  <c r="BK40" i="4"/>
  <c r="BK32" i="4"/>
  <c r="BK23" i="4"/>
  <c r="BK45" i="4"/>
  <c r="BK35" i="4"/>
  <c r="BK17" i="4"/>
  <c r="BK105" i="4"/>
  <c r="BK97" i="4"/>
  <c r="BK76" i="4"/>
  <c r="BK94" i="4"/>
  <c r="BK47" i="4"/>
  <c r="BK86" i="4"/>
  <c r="BK95" i="4"/>
  <c r="BK44" i="4"/>
  <c r="BK34" i="4"/>
  <c r="BK46" i="4"/>
  <c r="BK37" i="4"/>
  <c r="BK110" i="4"/>
  <c r="BK100" i="4"/>
  <c r="BK87" i="4"/>
  <c r="BK99" i="4"/>
  <c r="BK88" i="4"/>
  <c r="BK36" i="4"/>
  <c r="BK30" i="4"/>
  <c r="BK19" i="4"/>
  <c r="BK56" i="4"/>
  <c r="BK107" i="4"/>
  <c r="BK96" i="4"/>
  <c r="BK81" i="4"/>
  <c r="BK51" i="4"/>
  <c r="BK82" i="4"/>
  <c r="BK50" i="4"/>
  <c r="BK29" i="4"/>
  <c r="BK43" i="4"/>
  <c r="BK28" i="4"/>
  <c r="BK16" i="4"/>
  <c r="BK55" i="4"/>
  <c r="BK116" i="4"/>
  <c r="BK54" i="4"/>
  <c r="BK106" i="4"/>
  <c r="BK78" i="4"/>
  <c r="BK79" i="4"/>
  <c r="BK48" i="4"/>
  <c r="BK27" i="4"/>
  <c r="BK39" i="4"/>
  <c r="BK115" i="4"/>
  <c r="AN130" i="4"/>
  <c r="BI130" i="4" s="1"/>
  <c r="BK22" i="4"/>
  <c r="BK103" i="4"/>
  <c r="P54" i="4"/>
  <c r="O54" i="4"/>
  <c r="S56" i="4"/>
  <c r="R56" i="4"/>
  <c r="AH33" i="4"/>
  <c r="AH109" i="4"/>
  <c r="AH99" i="4"/>
  <c r="AH95" i="4"/>
  <c r="AH105" i="4"/>
  <c r="AH92" i="4"/>
  <c r="AH87" i="4"/>
  <c r="AH83" i="4"/>
  <c r="AH78" i="4"/>
  <c r="AH110" i="4"/>
  <c r="AH43" i="4"/>
  <c r="AH26" i="4"/>
  <c r="AH51" i="4"/>
  <c r="BJ13" i="4"/>
  <c r="AI29" i="4"/>
  <c r="AI16" i="4"/>
  <c r="AF27" i="4"/>
  <c r="AF46" i="4"/>
  <c r="AP29" i="4"/>
  <c r="AP21" i="4"/>
  <c r="AP36" i="4"/>
  <c r="AP16" i="4"/>
  <c r="AN114" i="4"/>
  <c r="AH114" i="4"/>
  <c r="BH114" i="4"/>
  <c r="AR114" i="4"/>
  <c r="BL114" i="4"/>
  <c r="BF114" i="4"/>
  <c r="AJ114" i="4"/>
  <c r="AO114" i="4"/>
  <c r="AG114" i="4"/>
  <c r="BD114" i="4"/>
  <c r="AF114" i="4"/>
  <c r="AQ114" i="4"/>
  <c r="AM114" i="4"/>
  <c r="AQ124" i="4"/>
  <c r="BL122" i="4"/>
  <c r="AQ132" i="4"/>
  <c r="BL130" i="4"/>
  <c r="BL132" i="4"/>
  <c r="AQ130" i="4"/>
  <c r="AC60" i="3"/>
  <c r="AC58" i="3"/>
  <c r="AC57" i="3"/>
  <c r="AC59" i="3"/>
  <c r="AC56" i="3"/>
  <c r="AN18" i="4" l="1"/>
  <c r="AK114" i="4"/>
  <c r="BE114" i="4"/>
  <c r="BJ114" i="4"/>
  <c r="BA34" i="4"/>
  <c r="Q56" i="4"/>
  <c r="BA16" i="4"/>
  <c r="BA32" i="4"/>
  <c r="AN46" i="4"/>
  <c r="AN43" i="4"/>
  <c r="AN19" i="4"/>
  <c r="AN40" i="4"/>
  <c r="AN52" i="4"/>
  <c r="AN16" i="4"/>
  <c r="AY115" i="4"/>
  <c r="BJ16" i="4"/>
  <c r="BJ29" i="4"/>
  <c r="BJ49" i="4"/>
  <c r="BJ39" i="4"/>
  <c r="BJ69" i="4"/>
  <c r="BJ74" i="4"/>
  <c r="BJ85" i="4"/>
  <c r="BJ105" i="4"/>
  <c r="BJ96" i="4"/>
  <c r="BA29" i="4"/>
  <c r="BA33" i="4"/>
  <c r="BA50" i="4"/>
  <c r="BA81" i="4"/>
  <c r="BA94" i="4"/>
  <c r="BA99" i="4"/>
  <c r="BB17" i="4"/>
  <c r="BB35" i="4"/>
  <c r="BB25" i="4"/>
  <c r="BB44" i="4"/>
  <c r="BB81" i="4"/>
  <c r="BB49" i="4"/>
  <c r="BB86" i="4"/>
  <c r="BB103" i="4"/>
  <c r="BB112" i="4"/>
  <c r="BM25" i="4"/>
  <c r="BM44" i="4"/>
  <c r="BM37" i="4"/>
  <c r="BM108" i="4"/>
  <c r="BM72" i="4"/>
  <c r="BM82" i="4"/>
  <c r="BM92" i="4"/>
  <c r="BI46" i="4"/>
  <c r="AR77" i="4"/>
  <c r="AR71" i="4"/>
  <c r="AR89" i="4"/>
  <c r="AR95" i="4"/>
  <c r="AN81" i="4"/>
  <c r="AN98" i="4"/>
  <c r="AN86" i="4"/>
  <c r="AN68" i="4"/>
  <c r="AI85" i="4"/>
  <c r="AI82" i="4"/>
  <c r="AI99" i="4"/>
  <c r="AI106" i="4"/>
  <c r="O55" i="4"/>
  <c r="AV55" i="4"/>
  <c r="T86" i="4"/>
  <c r="S86" i="4"/>
  <c r="Q86" i="4"/>
  <c r="T87" i="4"/>
  <c r="S87" i="4"/>
  <c r="Q87" i="4"/>
  <c r="T88" i="4"/>
  <c r="S88" i="4"/>
  <c r="Q88" i="4"/>
  <c r="S89" i="4"/>
  <c r="Q89" i="4"/>
  <c r="T89" i="4"/>
  <c r="S90" i="4"/>
  <c r="Q90" i="4"/>
  <c r="T90" i="4"/>
  <c r="S92" i="4"/>
  <c r="Q92" i="4"/>
  <c r="T92" i="4"/>
  <c r="S93" i="4"/>
  <c r="Q93" i="4"/>
  <c r="T93" i="4"/>
  <c r="S94" i="4"/>
  <c r="Q94" i="4"/>
  <c r="T94" i="4"/>
  <c r="T95" i="4"/>
  <c r="S95" i="4"/>
  <c r="Q95" i="4"/>
  <c r="T96" i="4"/>
  <c r="S96" i="4"/>
  <c r="Q96" i="4"/>
  <c r="T97" i="4"/>
  <c r="S97" i="4"/>
  <c r="Q97" i="4"/>
  <c r="S98" i="4"/>
  <c r="Q98" i="4"/>
  <c r="T98" i="4"/>
  <c r="S99" i="4"/>
  <c r="Q99" i="4"/>
  <c r="T99" i="4"/>
  <c r="S100" i="4"/>
  <c r="Q100" i="4"/>
  <c r="T100" i="4"/>
  <c r="T103" i="4"/>
  <c r="S103" i="4"/>
  <c r="Q103" i="4"/>
  <c r="T104" i="4"/>
  <c r="S104" i="4"/>
  <c r="Q104" i="4"/>
  <c r="T105" i="4"/>
  <c r="S105" i="4"/>
  <c r="Q105" i="4"/>
  <c r="T106" i="4"/>
  <c r="S106" i="4"/>
  <c r="Q106" i="4"/>
  <c r="S107" i="4"/>
  <c r="Q107" i="4"/>
  <c r="T107" i="4"/>
  <c r="S108" i="4"/>
  <c r="Q108" i="4"/>
  <c r="T108" i="4"/>
  <c r="S109" i="4"/>
  <c r="Q109" i="4"/>
  <c r="T109" i="4"/>
  <c r="S110" i="4"/>
  <c r="Q110" i="4"/>
  <c r="T110" i="4"/>
  <c r="S111" i="4"/>
  <c r="Q111" i="4"/>
  <c r="T111" i="4"/>
  <c r="T112" i="4"/>
  <c r="S112" i="4"/>
  <c r="Q112" i="4"/>
  <c r="O114" i="4"/>
  <c r="R114" i="4"/>
  <c r="S114" i="4"/>
  <c r="R115" i="4"/>
  <c r="S115" i="4"/>
  <c r="BL12" i="4"/>
  <c r="AF18" i="4"/>
  <c r="AJ52" i="4"/>
  <c r="AG44" i="4"/>
  <c r="AG34" i="4"/>
  <c r="AG22" i="4"/>
  <c r="AP23" i="4"/>
  <c r="AN39" i="4"/>
  <c r="AN139" i="4"/>
  <c r="BA19" i="4"/>
  <c r="AN56" i="4"/>
  <c r="BA111" i="4"/>
  <c r="AN12" i="4"/>
  <c r="AN50" i="4"/>
  <c r="AN37" i="4"/>
  <c r="AN48" i="4"/>
  <c r="AN8" i="4"/>
  <c r="AW115" i="4"/>
  <c r="AN115" i="4"/>
  <c r="BA55" i="4"/>
  <c r="BJ32" i="4"/>
  <c r="BJ24" i="4"/>
  <c r="BJ43" i="4"/>
  <c r="BJ107" i="4"/>
  <c r="BJ76" i="4"/>
  <c r="BJ86" i="4"/>
  <c r="BJ109" i="4"/>
  <c r="BJ97" i="4"/>
  <c r="BA36" i="4"/>
  <c r="BA35" i="4"/>
  <c r="BA104" i="4"/>
  <c r="BA84" i="4"/>
  <c r="BA108" i="4"/>
  <c r="BA100" i="4"/>
  <c r="BB19" i="4"/>
  <c r="BB37" i="4"/>
  <c r="BB27" i="4"/>
  <c r="BB46" i="4"/>
  <c r="BB83" i="4"/>
  <c r="BB51" i="4"/>
  <c r="BB88" i="4"/>
  <c r="BB104" i="4"/>
  <c r="BI30" i="4"/>
  <c r="AN83" i="4"/>
  <c r="AN70" i="4"/>
  <c r="AN88" i="4"/>
  <c r="AN69" i="4"/>
  <c r="AN109" i="4"/>
  <c r="S116" i="4"/>
  <c r="R116" i="4"/>
  <c r="AJ19" i="4"/>
  <c r="S101" i="4"/>
  <c r="Q101" i="4"/>
  <c r="T101" i="4"/>
  <c r="BL101" i="4"/>
  <c r="AN27" i="4"/>
  <c r="BA45" i="4"/>
  <c r="BA54" i="4"/>
  <c r="AN10" i="4"/>
  <c r="BA95" i="4"/>
  <c r="BA110" i="4"/>
  <c r="AN32" i="4"/>
  <c r="AN47" i="4"/>
  <c r="AN11" i="4"/>
  <c r="AN44" i="4"/>
  <c r="BJ56" i="4"/>
  <c r="Q55" i="4"/>
  <c r="T55" i="4"/>
  <c r="BJ14" i="4"/>
  <c r="BJ21" i="4"/>
  <c r="BJ34" i="4"/>
  <c r="BJ26" i="4"/>
  <c r="BJ45" i="4"/>
  <c r="BJ68" i="4"/>
  <c r="BJ77" i="4"/>
  <c r="BJ87" i="4"/>
  <c r="BJ116" i="4"/>
  <c r="BJ98" i="4"/>
  <c r="BA38" i="4"/>
  <c r="BA37" i="4"/>
  <c r="BA106" i="4"/>
  <c r="BA85" i="4"/>
  <c r="BA103" i="4"/>
  <c r="BA109" i="4"/>
  <c r="BB22" i="4"/>
  <c r="BB39" i="4"/>
  <c r="BB29" i="4"/>
  <c r="BB48" i="4"/>
  <c r="BB85" i="4"/>
  <c r="BB96" i="4"/>
  <c r="BB90" i="4"/>
  <c r="BB106" i="4"/>
  <c r="BI48" i="4"/>
  <c r="AN85" i="4"/>
  <c r="AN72" i="4"/>
  <c r="AN90" i="4"/>
  <c r="AN103" i="4"/>
  <c r="AN110" i="4"/>
  <c r="BI103" i="4"/>
  <c r="T67" i="4"/>
  <c r="S67" i="4"/>
  <c r="Q67" i="4"/>
  <c r="T68" i="4"/>
  <c r="S68" i="4"/>
  <c r="Q68" i="4"/>
  <c r="T69" i="4"/>
  <c r="S69" i="4"/>
  <c r="Q69" i="4"/>
  <c r="T70" i="4"/>
  <c r="S70" i="4"/>
  <c r="Q70" i="4"/>
  <c r="S71" i="4"/>
  <c r="Q71" i="4"/>
  <c r="T71" i="4"/>
  <c r="S72" i="4"/>
  <c r="Q72" i="4"/>
  <c r="T72" i="4"/>
  <c r="S73" i="4"/>
  <c r="Q73" i="4"/>
  <c r="T73" i="4"/>
  <c r="S74" i="4"/>
  <c r="Q74" i="4"/>
  <c r="T74" i="4"/>
  <c r="T76" i="4"/>
  <c r="S76" i="4"/>
  <c r="Q76" i="4"/>
  <c r="T77" i="4"/>
  <c r="S77" i="4"/>
  <c r="Q77" i="4"/>
  <c r="T78" i="4"/>
  <c r="S78" i="4"/>
  <c r="Q78" i="4"/>
  <c r="T79" i="4"/>
  <c r="Q79" i="4"/>
  <c r="S79" i="4"/>
  <c r="S81" i="4"/>
  <c r="Q81" i="4"/>
  <c r="T81" i="4"/>
  <c r="S82" i="4"/>
  <c r="Q82" i="4"/>
  <c r="T82" i="4"/>
  <c r="S83" i="4"/>
  <c r="T83" i="4"/>
  <c r="Q83" i="4"/>
  <c r="S84" i="4"/>
  <c r="Q84" i="4"/>
  <c r="T84" i="4"/>
  <c r="T114" i="4"/>
  <c r="Q114" i="4"/>
  <c r="T115" i="4"/>
  <c r="Q115" i="4"/>
  <c r="AF40" i="4"/>
  <c r="AF101" i="4"/>
  <c r="BA92" i="4"/>
  <c r="BA90" i="4"/>
  <c r="AN17" i="4"/>
  <c r="AN51" i="4"/>
  <c r="AN38" i="4"/>
  <c r="BA115" i="4"/>
  <c r="BA21" i="4"/>
  <c r="BJ9" i="4"/>
  <c r="BJ36" i="4"/>
  <c r="BJ28" i="4"/>
  <c r="BJ51" i="4"/>
  <c r="BJ103" i="4"/>
  <c r="BJ78" i="4"/>
  <c r="BJ88" i="4"/>
  <c r="BJ100" i="4"/>
  <c r="BJ99" i="4"/>
  <c r="BA40" i="4"/>
  <c r="BA39" i="4"/>
  <c r="BA70" i="4"/>
  <c r="BA86" i="4"/>
  <c r="BA105" i="4"/>
  <c r="BA116" i="4"/>
  <c r="BJ22" i="4"/>
  <c r="BB24" i="4"/>
  <c r="BB43" i="4"/>
  <c r="BB32" i="4"/>
  <c r="BB50" i="4"/>
  <c r="BB87" i="4"/>
  <c r="BB70" i="4"/>
  <c r="BB93" i="4"/>
  <c r="AN87" i="4"/>
  <c r="AN74" i="4"/>
  <c r="AN93" i="4"/>
  <c r="AN104" i="4"/>
  <c r="AN111" i="4"/>
  <c r="BA10" i="4"/>
  <c r="Q116" i="4"/>
  <c r="T116" i="4"/>
  <c r="S85" i="4"/>
  <c r="Q85" i="4"/>
  <c r="T85" i="4"/>
  <c r="BJ18" i="4"/>
  <c r="BJ40" i="4"/>
  <c r="BJ33" i="4"/>
  <c r="BJ48" i="4"/>
  <c r="BJ71" i="4"/>
  <c r="BJ81" i="4"/>
  <c r="BJ90" i="4"/>
  <c r="BJ106" i="4"/>
  <c r="BJ108" i="4"/>
  <c r="BA23" i="4"/>
  <c r="BA49" i="4"/>
  <c r="BA51" i="4"/>
  <c r="BA77" i="4"/>
  <c r="BA88" i="4"/>
  <c r="BA96" i="4"/>
  <c r="AN73" i="4"/>
  <c r="AN92" i="4"/>
  <c r="AN79" i="4"/>
  <c r="AN95" i="4"/>
  <c r="AN106" i="4"/>
  <c r="BB101" i="4"/>
  <c r="BB84" i="4"/>
  <c r="AI48" i="4"/>
  <c r="AN28" i="4"/>
  <c r="BA112" i="4"/>
  <c r="BA72" i="4"/>
  <c r="AN29" i="4"/>
  <c r="AN49" i="4"/>
  <c r="BA47" i="4"/>
  <c r="AN35" i="4"/>
  <c r="BA52" i="4"/>
  <c r="AN36" i="4"/>
  <c r="BA17" i="4"/>
  <c r="AN33" i="4"/>
  <c r="AN26" i="4"/>
  <c r="AN24" i="4"/>
  <c r="AN14" i="4"/>
  <c r="AN25" i="4"/>
  <c r="BJ17" i="4"/>
  <c r="BA12" i="4"/>
  <c r="BA18" i="4"/>
  <c r="BJ23" i="4"/>
  <c r="BJ44" i="4"/>
  <c r="BJ35" i="4"/>
  <c r="BJ50" i="4"/>
  <c r="BJ72" i="4"/>
  <c r="BJ82" i="4"/>
  <c r="BJ92" i="4"/>
  <c r="BJ94" i="4"/>
  <c r="BJ110" i="4"/>
  <c r="BA25" i="4"/>
  <c r="BA24" i="4"/>
  <c r="BA46" i="4"/>
  <c r="BA78" i="4"/>
  <c r="BA89" i="4"/>
  <c r="BA97" i="4"/>
  <c r="BJ19" i="4"/>
  <c r="BB30" i="4"/>
  <c r="BB21" i="4"/>
  <c r="BB38" i="4"/>
  <c r="BB76" i="4"/>
  <c r="BB94" i="4"/>
  <c r="BB79" i="4"/>
  <c r="BB99" i="4"/>
  <c r="BB110" i="4"/>
  <c r="AN76" i="4"/>
  <c r="AN94" i="4"/>
  <c r="AN82" i="4"/>
  <c r="AN97" i="4"/>
  <c r="AN107" i="4"/>
  <c r="AJ24" i="4"/>
  <c r="AF36" i="4"/>
  <c r="BB114" i="4"/>
  <c r="BJ54" i="4"/>
  <c r="AN55" i="4"/>
  <c r="BA28" i="4"/>
  <c r="BA26" i="4"/>
  <c r="AN13" i="4"/>
  <c r="AN23" i="4"/>
  <c r="AN45" i="4"/>
  <c r="AN9" i="4"/>
  <c r="AN21" i="4"/>
  <c r="BJ115" i="4"/>
  <c r="BJ55" i="4"/>
  <c r="BJ27" i="4"/>
  <c r="BJ47" i="4"/>
  <c r="BJ37" i="4"/>
  <c r="BJ52" i="4"/>
  <c r="BJ73" i="4"/>
  <c r="BJ83" i="4"/>
  <c r="BJ93" i="4"/>
  <c r="BJ95" i="4"/>
  <c r="BJ112" i="4"/>
  <c r="BA27" i="4"/>
  <c r="BA30" i="4"/>
  <c r="BA48" i="4"/>
  <c r="BA79" i="4"/>
  <c r="BA93" i="4"/>
  <c r="BA98" i="4"/>
  <c r="BB33" i="4"/>
  <c r="BB23" i="4"/>
  <c r="BB40" i="4"/>
  <c r="BB78" i="4"/>
  <c r="BB98" i="4"/>
  <c r="BB82" i="4"/>
  <c r="BB116" i="4"/>
  <c r="BB111" i="4"/>
  <c r="BI27" i="4"/>
  <c r="BI108" i="4"/>
  <c r="AN78" i="4"/>
  <c r="AN100" i="4"/>
  <c r="AN84" i="4"/>
  <c r="AN99" i="4"/>
  <c r="BJ10" i="4"/>
  <c r="BM24" i="4"/>
  <c r="BM84" i="4"/>
  <c r="Y8" i="4"/>
  <c r="W8" i="4"/>
  <c r="AQ37" i="4"/>
  <c r="BL37" i="4"/>
  <c r="AQ97" i="4"/>
  <c r="BL97" i="4"/>
  <c r="AT123" i="4"/>
  <c r="CB10" i="4" s="1"/>
  <c r="BI1" i="4"/>
  <c r="BA74" i="4"/>
  <c r="J168" i="1"/>
  <c r="K203" i="1" s="1"/>
  <c r="AN128" i="4"/>
  <c r="BI128" i="4" s="1"/>
  <c r="BL139" i="4"/>
  <c r="AQ139" i="4"/>
  <c r="Y7" i="4"/>
  <c r="L54" i="1" s="1"/>
  <c r="Y51" i="4"/>
  <c r="X51" i="4"/>
  <c r="X49" i="4"/>
  <c r="X47" i="4"/>
  <c r="Y45" i="4"/>
  <c r="X45" i="4"/>
  <c r="X43" i="4"/>
  <c r="Y39" i="4"/>
  <c r="X39" i="4"/>
  <c r="X37" i="4"/>
  <c r="Y35" i="4"/>
  <c r="X35" i="4"/>
  <c r="X33" i="4"/>
  <c r="Y30" i="4"/>
  <c r="X28" i="4"/>
  <c r="X26" i="4"/>
  <c r="X24" i="4"/>
  <c r="Y22" i="4"/>
  <c r="X22" i="4"/>
  <c r="X19" i="4"/>
  <c r="X17" i="4"/>
  <c r="X14" i="4"/>
  <c r="Y12" i="4"/>
  <c r="X12" i="4"/>
  <c r="Y55" i="4"/>
  <c r="X55" i="4"/>
  <c r="Y11" i="4"/>
  <c r="L55" i="1" s="1"/>
  <c r="X41" i="4"/>
  <c r="Y52" i="4"/>
  <c r="X52" i="4"/>
  <c r="Y48" i="4"/>
  <c r="X48" i="4"/>
  <c r="X46" i="4"/>
  <c r="X44" i="4"/>
  <c r="Y40" i="4"/>
  <c r="X40" i="4"/>
  <c r="X36" i="4"/>
  <c r="X34" i="4"/>
  <c r="Y32" i="4"/>
  <c r="X32" i="4"/>
  <c r="Y29" i="4"/>
  <c r="X29" i="4"/>
  <c r="Y23" i="4"/>
  <c r="X23" i="4"/>
  <c r="Y18" i="4"/>
  <c r="X13" i="4"/>
  <c r="L71" i="16"/>
  <c r="BC19" i="4"/>
  <c r="BC24" i="4"/>
  <c r="BC33" i="4"/>
  <c r="BC43" i="4"/>
  <c r="BC32" i="4"/>
  <c r="BC40" i="4"/>
  <c r="BC52" i="4"/>
  <c r="BC70" i="4"/>
  <c r="BC78" i="4"/>
  <c r="BC83" i="4"/>
  <c r="BC87" i="4"/>
  <c r="BC92" i="4"/>
  <c r="BC95" i="4"/>
  <c r="BC99" i="4"/>
  <c r="BC109" i="4"/>
  <c r="BC108" i="4"/>
  <c r="AH77" i="4"/>
  <c r="AH84" i="4"/>
  <c r="AH89" i="4"/>
  <c r="AH103" i="4"/>
  <c r="AH96" i="4"/>
  <c r="AH104" i="4"/>
  <c r="BK38" i="4"/>
  <c r="AK84" i="4"/>
  <c r="AK98" i="4"/>
  <c r="BC10" i="4"/>
  <c r="BH109" i="4"/>
  <c r="BH49" i="4"/>
  <c r="BH101" i="4"/>
  <c r="AR49" i="4"/>
  <c r="AR109" i="4"/>
  <c r="AM9" i="4"/>
  <c r="AP109" i="4"/>
  <c r="AP68" i="4"/>
  <c r="AP70" i="4"/>
  <c r="AP71" i="4"/>
  <c r="AP84" i="4"/>
  <c r="AP9" i="4"/>
  <c r="AP101" i="4"/>
  <c r="AP8" i="4"/>
  <c r="AP11" i="4"/>
  <c r="AP18" i="4"/>
  <c r="AP77" i="4"/>
  <c r="AP41" i="4"/>
  <c r="AP49" i="4"/>
  <c r="AP24" i="4"/>
  <c r="AP10" i="4"/>
  <c r="AP85" i="4"/>
  <c r="BK85" i="4"/>
  <c r="BK49" i="4"/>
  <c r="BJ84" i="4"/>
  <c r="BD101" i="4"/>
  <c r="BD105" i="4"/>
  <c r="AP72" i="4"/>
  <c r="AP12" i="4"/>
  <c r="BD41" i="4"/>
  <c r="AM101" i="4"/>
  <c r="BA101" i="4"/>
  <c r="BK68" i="4"/>
  <c r="BK101" i="4"/>
  <c r="BK70" i="4"/>
  <c r="BK8" i="4"/>
  <c r="BK12" i="4"/>
  <c r="BK26" i="4"/>
  <c r="BK71" i="4"/>
  <c r="BK84" i="4"/>
  <c r="BK109" i="4"/>
  <c r="BK25" i="4"/>
  <c r="BK13" i="4"/>
  <c r="BK72" i="4"/>
  <c r="BK10" i="4"/>
  <c r="AK101" i="4"/>
  <c r="AK111" i="4"/>
  <c r="AP33" i="4"/>
  <c r="BK18" i="4"/>
  <c r="AP13" i="4"/>
  <c r="AI41" i="4"/>
  <c r="BB41" i="4"/>
  <c r="BJ41" i="4"/>
  <c r="AJ101" i="4"/>
  <c r="AK70" i="4"/>
  <c r="AK93" i="4"/>
  <c r="AK110" i="4"/>
  <c r="BB123" i="4"/>
  <c r="BB140" i="4" s="1"/>
  <c r="BM109" i="4"/>
  <c r="BM101" i="4"/>
  <c r="AO44" i="4"/>
  <c r="AO25" i="4"/>
  <c r="AO84" i="4"/>
  <c r="AM109" i="4"/>
  <c r="AM49" i="4"/>
  <c r="BK9" i="4"/>
  <c r="AP25" i="4"/>
  <c r="BM41" i="4"/>
  <c r="BH41" i="4"/>
  <c r="AF55" i="4"/>
  <c r="BP55" i="4"/>
  <c r="C135" i="1"/>
  <c r="BD68" i="4"/>
  <c r="AR101" i="4"/>
  <c r="AH101" i="4"/>
  <c r="BE101" i="4"/>
  <c r="BI101" i="4"/>
  <c r="AP114" i="4"/>
  <c r="BC114" i="4"/>
  <c r="BI114" i="4"/>
  <c r="BA114" i="4"/>
  <c r="BM114" i="4"/>
  <c r="AI114" i="4"/>
  <c r="BC48" i="4"/>
  <c r="BC30" i="4"/>
  <c r="BC39" i="4"/>
  <c r="BC29" i="4"/>
  <c r="BC38" i="4"/>
  <c r="BC50" i="4"/>
  <c r="BC51" i="4"/>
  <c r="BC77" i="4"/>
  <c r="BC82" i="4"/>
  <c r="BC86" i="4"/>
  <c r="BC90" i="4"/>
  <c r="BC111" i="4"/>
  <c r="BC98" i="4"/>
  <c r="BC106" i="4"/>
  <c r="BC116" i="4"/>
  <c r="AH76" i="4"/>
  <c r="AH82" i="4"/>
  <c r="AH88" i="4"/>
  <c r="AH94" i="4"/>
  <c r="AH112" i="4"/>
  <c r="AH100" i="4"/>
  <c r="AH116" i="4"/>
  <c r="AK79" i="4"/>
  <c r="AK109" i="4"/>
  <c r="BE10" i="4"/>
  <c r="BJ11" i="4"/>
  <c r="AR45" i="4"/>
  <c r="AN101" i="4"/>
  <c r="AN41" i="4"/>
  <c r="AG56" i="4"/>
  <c r="AI25" i="4"/>
  <c r="AG101" i="4"/>
  <c r="AG8" i="4"/>
  <c r="AG17" i="4"/>
  <c r="AG23" i="4"/>
  <c r="AG33" i="4"/>
  <c r="AG47" i="4"/>
  <c r="AP19" i="4"/>
  <c r="BK11" i="4"/>
  <c r="BM49" i="4"/>
  <c r="BK77" i="4"/>
  <c r="BJ25" i="4"/>
  <c r="AP26" i="4"/>
  <c r="AQ101" i="4"/>
  <c r="AQ41" i="4"/>
  <c r="AQ25" i="4"/>
  <c r="AQ85" i="4"/>
  <c r="AR41" i="4"/>
  <c r="BF41" i="4"/>
  <c r="BK41" i="4"/>
  <c r="V56" i="4"/>
  <c r="W56" i="4" s="1"/>
  <c r="V54" i="4"/>
  <c r="W54" i="4" s="1"/>
  <c r="AO101" i="4"/>
  <c r="BC101" i="4"/>
  <c r="BB14" i="4"/>
  <c r="AP69" i="4"/>
  <c r="C122" i="4"/>
  <c r="AA24" i="4" s="1"/>
  <c r="L111" i="1"/>
  <c r="M197" i="1" s="1"/>
  <c r="N75" i="16" s="1"/>
  <c r="J42" i="6"/>
  <c r="J61" i="6" s="1"/>
  <c r="G6" i="6" s="1"/>
  <c r="J73" i="1"/>
  <c r="I133" i="1"/>
  <c r="BB120" i="4"/>
  <c r="BB137" i="4" s="1"/>
  <c r="AN124" i="4"/>
  <c r="C151" i="1"/>
  <c r="C170" i="1"/>
  <c r="J75" i="1"/>
  <c r="AN140" i="4"/>
  <c r="AK7" i="4"/>
  <c r="BC7" i="4"/>
  <c r="BE67" i="4"/>
  <c r="BA67" i="4"/>
  <c r="BA7" i="4"/>
  <c r="BD7" i="4"/>
  <c r="BF67" i="4"/>
  <c r="BD67" i="4"/>
  <c r="BF7" i="4"/>
  <c r="BB7" i="4"/>
  <c r="AF7" i="4"/>
  <c r="AJ7" i="4"/>
  <c r="AH7" i="4"/>
  <c r="AH67" i="4"/>
  <c r="AJ67" i="4"/>
  <c r="BB67" i="4"/>
  <c r="AI67" i="4"/>
  <c r="AG67" i="4"/>
  <c r="BK69" i="4"/>
  <c r="AQ141" i="4"/>
  <c r="AQ67" i="4"/>
  <c r="BI7" i="4"/>
  <c r="BL67" i="4"/>
  <c r="AN7" i="4"/>
  <c r="BJ67" i="4"/>
  <c r="BH67" i="4"/>
  <c r="BM67" i="4"/>
  <c r="AN67" i="4"/>
  <c r="BK7" i="4"/>
  <c r="AP7" i="4"/>
  <c r="BK67" i="4"/>
  <c r="AO7" i="4"/>
  <c r="AR7" i="4"/>
  <c r="AR67" i="4"/>
  <c r="BM7" i="4"/>
  <c r="AP67" i="4"/>
  <c r="AM67" i="4"/>
  <c r="AO67" i="4"/>
  <c r="BJ7" i="4"/>
  <c r="C67" i="6"/>
  <c r="I16" i="6" s="1"/>
  <c r="L16" i="6" s="1"/>
  <c r="AT124" i="4"/>
  <c r="CB11" i="4" s="1"/>
  <c r="AI13" i="4"/>
  <c r="AI14" i="4"/>
  <c r="BF13" i="4"/>
  <c r="AF14" i="4"/>
  <c r="AH14" i="4"/>
  <c r="AJ14" i="4"/>
  <c r="BE14" i="4"/>
  <c r="AH73" i="4"/>
  <c r="AG14" i="4"/>
  <c r="AH13" i="4"/>
  <c r="AF13" i="4"/>
  <c r="AK13" i="4"/>
  <c r="BA73" i="4"/>
  <c r="AJ13" i="4"/>
  <c r="AK14" i="4"/>
  <c r="BE73" i="4"/>
  <c r="AK73" i="4"/>
  <c r="BB124" i="4"/>
  <c r="BB141" i="4" s="1"/>
  <c r="BC13" i="4"/>
  <c r="BB13" i="4"/>
  <c r="BE74" i="4"/>
  <c r="BA13" i="4"/>
  <c r="BC73" i="4"/>
  <c r="AK74" i="4"/>
  <c r="AI74" i="4"/>
  <c r="AJ151" i="4"/>
  <c r="AT122" i="4"/>
  <c r="CB9" i="4" s="1"/>
  <c r="BD13" i="4"/>
  <c r="BF73" i="4"/>
  <c r="AG73" i="4"/>
  <c r="BD73" i="4"/>
  <c r="AI73" i="4"/>
  <c r="BE13" i="4"/>
  <c r="BA14" i="4"/>
  <c r="BD14" i="4"/>
  <c r="AJ74" i="4"/>
  <c r="AF73" i="4"/>
  <c r="BB73" i="4"/>
  <c r="AG13" i="4"/>
  <c r="AT121" i="4"/>
  <c r="CB8" i="4" s="1"/>
  <c r="J111" i="1"/>
  <c r="L75" i="16" s="1"/>
  <c r="I58" i="1"/>
  <c r="P76" i="1"/>
  <c r="Q195" i="1" s="1"/>
  <c r="I35" i="6"/>
  <c r="L35" i="6" s="1"/>
  <c r="I28" i="6"/>
  <c r="M28" i="6" s="1"/>
  <c r="O13" i="6"/>
  <c r="R13" i="6" s="1"/>
  <c r="O29" i="6"/>
  <c r="S29" i="6" s="1"/>
  <c r="I33" i="6"/>
  <c r="J33" i="6" s="1"/>
  <c r="K33" i="6" s="1"/>
  <c r="I20" i="6"/>
  <c r="J20" i="6" s="1"/>
  <c r="K20" i="6" s="1"/>
  <c r="O21" i="6"/>
  <c r="S21" i="6" s="1"/>
  <c r="O9" i="6"/>
  <c r="R9" i="6" s="1"/>
  <c r="O25" i="6"/>
  <c r="R25" i="6" s="1"/>
  <c r="AE123" i="4"/>
  <c r="BZ10" i="4" s="1"/>
  <c r="AA14" i="4"/>
  <c r="AA19" i="4"/>
  <c r="AA27" i="4"/>
  <c r="AA32" i="4"/>
  <c r="AA36" i="4"/>
  <c r="AA46" i="4"/>
  <c r="AA50" i="4"/>
  <c r="AA55" i="4"/>
  <c r="AA47" i="4"/>
  <c r="AA51" i="4"/>
  <c r="AA54" i="4"/>
  <c r="AA18" i="4"/>
  <c r="AA23" i="4"/>
  <c r="AA26" i="4"/>
  <c r="AA35" i="4"/>
  <c r="AA39" i="4"/>
  <c r="AA45" i="4"/>
  <c r="AA56" i="4"/>
  <c r="AA33" i="4"/>
  <c r="AA37" i="4"/>
  <c r="AA25" i="4"/>
  <c r="AA41" i="4"/>
  <c r="AA12" i="4"/>
  <c r="AA22" i="4"/>
  <c r="AA29" i="4"/>
  <c r="AA34" i="4"/>
  <c r="AA44" i="4"/>
  <c r="AA48" i="4"/>
  <c r="AA52" i="4"/>
  <c r="AA7" i="4"/>
  <c r="AA8" i="4"/>
  <c r="AB8" i="4" s="1"/>
  <c r="AA9" i="4"/>
  <c r="AA11" i="4"/>
  <c r="AB11" i="4" s="1"/>
  <c r="AA16" i="4"/>
  <c r="AF8" i="4"/>
  <c r="BE68" i="4"/>
  <c r="O32" i="6"/>
  <c r="S32" i="6" s="1"/>
  <c r="O28" i="6"/>
  <c r="P28" i="6" s="1"/>
  <c r="Q28" i="6" s="1"/>
  <c r="O24" i="6"/>
  <c r="R24" i="6" s="1"/>
  <c r="O16" i="6"/>
  <c r="P16" i="6" s="1"/>
  <c r="Q16" i="6" s="1"/>
  <c r="O12" i="6"/>
  <c r="P12" i="6" s="1"/>
  <c r="Q12" i="6" s="1"/>
  <c r="O8" i="6"/>
  <c r="R8" i="6" s="1"/>
  <c r="N73" i="1" s="1"/>
  <c r="I27" i="6"/>
  <c r="J27" i="6" s="1"/>
  <c r="K27" i="6" s="1"/>
  <c r="I23" i="6"/>
  <c r="J23" i="6" s="1"/>
  <c r="K23" i="6" s="1"/>
  <c r="I19" i="6"/>
  <c r="L19" i="6" s="1"/>
  <c r="I11" i="6"/>
  <c r="M11" i="6" s="1"/>
  <c r="I7" i="6"/>
  <c r="J7" i="6" s="1"/>
  <c r="I9" i="6"/>
  <c r="M9" i="6" s="1"/>
  <c r="AT120" i="4"/>
  <c r="CB7" i="4" s="1"/>
  <c r="AP150" i="4"/>
  <c r="AM122" i="4" s="1"/>
  <c r="AS122" i="4" s="1"/>
  <c r="CA9" i="4" s="1"/>
  <c r="J72" i="1"/>
  <c r="O31" i="6"/>
  <c r="R31" i="6" s="1"/>
  <c r="O27" i="6"/>
  <c r="R27" i="6" s="1"/>
  <c r="O23" i="6"/>
  <c r="R23" i="6" s="1"/>
  <c r="O15" i="6"/>
  <c r="S15" i="6" s="1"/>
  <c r="O11" i="6"/>
  <c r="S11" i="6" s="1"/>
  <c r="O7" i="6"/>
  <c r="P7" i="6" s="1"/>
  <c r="I26" i="6"/>
  <c r="J26" i="6" s="1"/>
  <c r="K26" i="6" s="1"/>
  <c r="I22" i="6"/>
  <c r="M22" i="6" s="1"/>
  <c r="I18" i="6"/>
  <c r="L18" i="6" s="1"/>
  <c r="I10" i="6"/>
  <c r="M10" i="6" s="1"/>
  <c r="I8" i="6"/>
  <c r="M8" i="6" s="1"/>
  <c r="J74" i="1"/>
  <c r="AK8" i="4"/>
  <c r="O30" i="6"/>
  <c r="S30" i="6" s="1"/>
  <c r="O26" i="6"/>
  <c r="P26" i="6" s="1"/>
  <c r="Q26" i="6" s="1"/>
  <c r="O18" i="6"/>
  <c r="R18" i="6" s="1"/>
  <c r="O14" i="6"/>
  <c r="S14" i="6" s="1"/>
  <c r="O10" i="6"/>
  <c r="R10" i="6" s="1"/>
  <c r="I25" i="6"/>
  <c r="J25" i="6" s="1"/>
  <c r="K25" i="6" s="1"/>
  <c r="I21" i="6"/>
  <c r="I17" i="6"/>
  <c r="J17" i="6" s="1"/>
  <c r="K17" i="6" s="1"/>
  <c r="I37" i="6"/>
  <c r="J37" i="6" s="1"/>
  <c r="K37" i="6" s="1"/>
  <c r="I31" i="6"/>
  <c r="J31" i="6" s="1"/>
  <c r="K31" i="6" s="1"/>
  <c r="I36" i="6"/>
  <c r="BB121" i="4"/>
  <c r="BB138" i="4" s="1"/>
  <c r="BD74" i="4"/>
  <c r="AI8" i="4"/>
  <c r="AJ68" i="4"/>
  <c r="BF8" i="4"/>
  <c r="AF68" i="4"/>
  <c r="BC68" i="4"/>
  <c r="BB68" i="4"/>
  <c r="AH8" i="4"/>
  <c r="AJ8" i="4"/>
  <c r="BB8" i="4"/>
  <c r="BE8" i="4"/>
  <c r="BC8" i="4"/>
  <c r="AH68" i="4"/>
  <c r="AG68" i="4"/>
  <c r="AI68" i="4"/>
  <c r="AK68" i="4"/>
  <c r="BA8" i="4"/>
  <c r="BA68" i="4"/>
  <c r="BD8" i="4"/>
  <c r="BF68" i="4"/>
  <c r="AG139" i="4"/>
  <c r="AF11" i="4"/>
  <c r="AG11" i="4"/>
  <c r="AE124" i="4"/>
  <c r="BZ11" i="4" s="1"/>
  <c r="AK11" i="4"/>
  <c r="AJ11" i="4"/>
  <c r="AH71" i="4"/>
  <c r="BA11" i="4"/>
  <c r="AF71" i="4"/>
  <c r="AI151" i="4"/>
  <c r="BC14" i="4"/>
  <c r="BF14" i="4"/>
  <c r="BF74" i="4"/>
  <c r="AG74" i="4"/>
  <c r="AF74" i="4"/>
  <c r="BC74" i="4"/>
  <c r="AH74" i="4"/>
  <c r="BB74" i="4"/>
  <c r="BD11" i="4"/>
  <c r="BB71" i="4"/>
  <c r="AI71" i="4"/>
  <c r="AJ150" i="4"/>
  <c r="BC11" i="4"/>
  <c r="BE71" i="4"/>
  <c r="AJ71" i="4"/>
  <c r="BF11" i="4"/>
  <c r="BA71" i="4"/>
  <c r="BC71" i="4"/>
  <c r="BF71" i="4"/>
  <c r="BD71" i="4"/>
  <c r="BE11" i="4"/>
  <c r="AE122" i="4"/>
  <c r="BZ9" i="4" s="1"/>
  <c r="AK71" i="4"/>
  <c r="BB11" i="4"/>
  <c r="AG71" i="4"/>
  <c r="AI149" i="4"/>
  <c r="AF129" i="4" s="1"/>
  <c r="BA129" i="4" s="1"/>
  <c r="AI148" i="4"/>
  <c r="AF128" i="4" s="1"/>
  <c r="BA128" i="4" s="1"/>
  <c r="AI152" i="4"/>
  <c r="AF124" i="4" s="1"/>
  <c r="AD124" i="4" s="1"/>
  <c r="BY11" i="4" s="1"/>
  <c r="AI150" i="4"/>
  <c r="AG146" i="4"/>
  <c r="AH9" i="4"/>
  <c r="AG69" i="4"/>
  <c r="AN137" i="4"/>
  <c r="AN146" i="4"/>
  <c r="BI120" i="4"/>
  <c r="BI137" i="4" s="1"/>
  <c r="AP151" i="4"/>
  <c r="AN138" i="4"/>
  <c r="BI121" i="4"/>
  <c r="BI138" i="4" s="1"/>
  <c r="AP148" i="4"/>
  <c r="AM128" i="4" s="1"/>
  <c r="BH128" i="4" s="1"/>
  <c r="AF9" i="4"/>
  <c r="AK9" i="4"/>
  <c r="AG9" i="4"/>
  <c r="AK69" i="4"/>
  <c r="BE9" i="4"/>
  <c r="BE69" i="4"/>
  <c r="BD9" i="4"/>
  <c r="BC69" i="4"/>
  <c r="BF9" i="4"/>
  <c r="BB69" i="4"/>
  <c r="BD69" i="4"/>
  <c r="AI69" i="4"/>
  <c r="AE121" i="4"/>
  <c r="BZ8" i="4" s="1"/>
  <c r="AI9" i="4"/>
  <c r="AJ9" i="4"/>
  <c r="AH69" i="4"/>
  <c r="BA9" i="4"/>
  <c r="BA69" i="4"/>
  <c r="AJ69" i="4"/>
  <c r="AF69" i="4"/>
  <c r="BC9" i="4"/>
  <c r="BB9" i="4"/>
  <c r="BF69" i="4"/>
  <c r="Y41" i="4"/>
  <c r="Y50" i="4"/>
  <c r="Y19" i="4"/>
  <c r="K44" i="6"/>
  <c r="L44" i="6" s="1"/>
  <c r="Y28" i="4"/>
  <c r="Y43" i="4"/>
  <c r="Y37" i="4"/>
  <c r="AG7" i="4"/>
  <c r="AE120" i="4"/>
  <c r="BZ7" i="4" s="1"/>
  <c r="Y14" i="4"/>
  <c r="Y33" i="4"/>
  <c r="Y36" i="4"/>
  <c r="Y47" i="4"/>
  <c r="Y24" i="4"/>
  <c r="Y46" i="4"/>
  <c r="Y49" i="4"/>
  <c r="Y13" i="4"/>
  <c r="Y27" i="4"/>
  <c r="Y34" i="4"/>
  <c r="Y9" i="4"/>
  <c r="Y10" i="4"/>
  <c r="L57" i="1" s="1"/>
  <c r="Y38" i="4"/>
  <c r="Y17" i="4"/>
  <c r="Y26" i="4"/>
  <c r="AP149" i="4"/>
  <c r="AP152" i="4"/>
  <c r="X25" i="4"/>
  <c r="Y25" i="4"/>
  <c r="X21" i="4"/>
  <c r="Y21" i="4"/>
  <c r="Y16" i="4"/>
  <c r="X16" i="4"/>
  <c r="Y44" i="4"/>
  <c r="AE56" i="3"/>
  <c r="AD56" i="3"/>
  <c r="AE58" i="3"/>
  <c r="AD58" i="3"/>
  <c r="AD59" i="3"/>
  <c r="AE59" i="3"/>
  <c r="AE60" i="3"/>
  <c r="AD60" i="3"/>
  <c r="AD57" i="3"/>
  <c r="AE57" i="3"/>
  <c r="K59" i="6"/>
  <c r="L59" i="6" s="1"/>
  <c r="K56" i="6"/>
  <c r="L56" i="6" s="1"/>
  <c r="K54" i="6"/>
  <c r="L54" i="6" s="1"/>
  <c r="K52" i="6"/>
  <c r="L52" i="6" s="1"/>
  <c r="K50" i="6"/>
  <c r="L50" i="6" s="1"/>
  <c r="K48" i="6"/>
  <c r="L48" i="6" s="1"/>
  <c r="K46" i="6"/>
  <c r="L46" i="6" s="1"/>
  <c r="K60" i="6"/>
  <c r="L60" i="6" s="1"/>
  <c r="K58" i="6"/>
  <c r="L58" i="6" s="1"/>
  <c r="K55" i="6"/>
  <c r="L55" i="6" s="1"/>
  <c r="K53" i="6"/>
  <c r="L53" i="6" s="1"/>
  <c r="K51" i="6"/>
  <c r="L51" i="6" s="1"/>
  <c r="K49" i="6"/>
  <c r="L49" i="6" s="1"/>
  <c r="K47" i="6"/>
  <c r="L47" i="6" s="1"/>
  <c r="K45" i="6"/>
  <c r="L45" i="6" s="1"/>
  <c r="K42" i="6"/>
  <c r="AJ132" i="4"/>
  <c r="BE123" i="4"/>
  <c r="BE130" i="4"/>
  <c r="AJ129" i="4"/>
  <c r="AJ120" i="4"/>
  <c r="AQ123" i="4"/>
  <c r="AQ121" i="4"/>
  <c r="BE124" i="4"/>
  <c r="AJ122" i="4"/>
  <c r="BE128" i="4"/>
  <c r="AJ124" i="4"/>
  <c r="AJ130" i="4"/>
  <c r="AJ128" i="4"/>
  <c r="AQ129" i="4"/>
  <c r="BE132" i="4"/>
  <c r="BE122" i="4"/>
  <c r="BE120" i="4"/>
  <c r="BE131" i="4"/>
  <c r="AJ121" i="4"/>
  <c r="BL123" i="4"/>
  <c r="BL129" i="4"/>
  <c r="AJ123" i="4"/>
  <c r="BE129" i="4"/>
  <c r="BL131" i="4"/>
  <c r="BL124" i="4"/>
  <c r="AJ131" i="4"/>
  <c r="BE121" i="4"/>
  <c r="AQ131" i="4"/>
  <c r="BL121" i="4"/>
  <c r="AQ128" i="4"/>
  <c r="BL120" i="4"/>
  <c r="BL128" i="4"/>
  <c r="AQ120" i="4"/>
  <c r="AF131" i="4" l="1"/>
  <c r="BA131" i="4" s="1"/>
  <c r="I12" i="6"/>
  <c r="J12" i="6" s="1"/>
  <c r="O35" i="6"/>
  <c r="R35" i="6" s="1"/>
  <c r="O36" i="6"/>
  <c r="P36" i="6" s="1"/>
  <c r="O33" i="6"/>
  <c r="P33" i="6" s="1"/>
  <c r="Q33" i="6" s="1"/>
  <c r="O37" i="6"/>
  <c r="P37" i="6" s="1"/>
  <c r="Q37" i="6" s="1"/>
  <c r="AM57" i="4"/>
  <c r="BL140" i="4"/>
  <c r="AQ140" i="4"/>
  <c r="AQ138" i="4"/>
  <c r="BL138" i="4"/>
  <c r="BL141" i="4"/>
  <c r="AQ57" i="4"/>
  <c r="AR57" i="4"/>
  <c r="AM130" i="4"/>
  <c r="BH130" i="4" s="1"/>
  <c r="AP57" i="4"/>
  <c r="L148" i="1"/>
  <c r="L56" i="1"/>
  <c r="L53" i="1"/>
  <c r="J57" i="1"/>
  <c r="J56" i="1"/>
  <c r="J55" i="1"/>
  <c r="J54" i="1"/>
  <c r="Y56" i="4"/>
  <c r="X56" i="4"/>
  <c r="X54" i="4"/>
  <c r="J53" i="1"/>
  <c r="L77" i="16"/>
  <c r="K199" i="1"/>
  <c r="K207" i="1" s="1"/>
  <c r="V57" i="4"/>
  <c r="AD56" i="4"/>
  <c r="AB56" i="4"/>
  <c r="AC56" i="4" s="1"/>
  <c r="AB55" i="4"/>
  <c r="AC55" i="4" s="1"/>
  <c r="AB54" i="4"/>
  <c r="AC54" i="4" s="1"/>
  <c r="AD46" i="4"/>
  <c r="AB46" i="4"/>
  <c r="AC46" i="4" s="1"/>
  <c r="AB52" i="4"/>
  <c r="AC52" i="4" s="1"/>
  <c r="AD45" i="4"/>
  <c r="AB45" i="4"/>
  <c r="AC45" i="4" s="1"/>
  <c r="AB47" i="4"/>
  <c r="AC47" i="4" s="1"/>
  <c r="AB51" i="4"/>
  <c r="AC51" i="4" s="1"/>
  <c r="AD48" i="4"/>
  <c r="AB48" i="4"/>
  <c r="AC48" i="4" s="1"/>
  <c r="AD44" i="4"/>
  <c r="AB44" i="4"/>
  <c r="AC44" i="4" s="1"/>
  <c r="AB50" i="4"/>
  <c r="AC50" i="4" s="1"/>
  <c r="AB37" i="4"/>
  <c r="AC37" i="4" s="1"/>
  <c r="AB39" i="4"/>
  <c r="AC39" i="4" s="1"/>
  <c r="AD34" i="4"/>
  <c r="AB34" i="4"/>
  <c r="AC34" i="4" s="1"/>
  <c r="AD41" i="4"/>
  <c r="AB41" i="4"/>
  <c r="AC41" i="4" s="1"/>
  <c r="AD36" i="4"/>
  <c r="AB36" i="4"/>
  <c r="AC36" i="4" s="1"/>
  <c r="AB33" i="4"/>
  <c r="AC33" i="4" s="1"/>
  <c r="AB35" i="4"/>
  <c r="AC35" i="4" s="1"/>
  <c r="AB32" i="4"/>
  <c r="AC32" i="4" s="1"/>
  <c r="AB26" i="4"/>
  <c r="AC26" i="4" s="1"/>
  <c r="AD29" i="4"/>
  <c r="AB29" i="4"/>
  <c r="AC29" i="4" s="1"/>
  <c r="AB25" i="4"/>
  <c r="AC25" i="4" s="1"/>
  <c r="AB23" i="4"/>
  <c r="AC23" i="4" s="1"/>
  <c r="AB24" i="4"/>
  <c r="AC24" i="4" s="1"/>
  <c r="AB22" i="4"/>
  <c r="AC22" i="4" s="1"/>
  <c r="AB27" i="4"/>
  <c r="AC27" i="4" s="1"/>
  <c r="AD19" i="4"/>
  <c r="AB19" i="4"/>
  <c r="AC19" i="4" s="1"/>
  <c r="AB18" i="4"/>
  <c r="AC18" i="4" s="1"/>
  <c r="AB16" i="4"/>
  <c r="AC16" i="4" s="1"/>
  <c r="AB14" i="4"/>
  <c r="AC14" i="4" s="1"/>
  <c r="AD9" i="4"/>
  <c r="L130" i="1" s="1"/>
  <c r="AB9" i="4"/>
  <c r="J130" i="1" s="1"/>
  <c r="AD12" i="4"/>
  <c r="AB12" i="4"/>
  <c r="AC12" i="4" s="1"/>
  <c r="AB7" i="4"/>
  <c r="R29" i="6"/>
  <c r="AD11" i="4"/>
  <c r="Y54" i="4"/>
  <c r="AN57" i="4"/>
  <c r="I13" i="6"/>
  <c r="J13" i="6" s="1"/>
  <c r="K13" i="6" s="1"/>
  <c r="I29" i="6"/>
  <c r="M29" i="6" s="1"/>
  <c r="O22" i="6"/>
  <c r="R22" i="6" s="1"/>
  <c r="I14" i="6"/>
  <c r="M14" i="6" s="1"/>
  <c r="I30" i="6"/>
  <c r="M30" i="6" s="1"/>
  <c r="O19" i="6"/>
  <c r="P19" i="6" s="1"/>
  <c r="Q19" i="6" s="1"/>
  <c r="O6" i="6"/>
  <c r="I6" i="6"/>
  <c r="J6" i="6" s="1"/>
  <c r="I15" i="6"/>
  <c r="J15" i="6" s="1"/>
  <c r="K15" i="6" s="1"/>
  <c r="I32" i="6"/>
  <c r="J32" i="6" s="1"/>
  <c r="K32" i="6" s="1"/>
  <c r="O20" i="6"/>
  <c r="P20" i="6" s="1"/>
  <c r="Q20" i="6" s="1"/>
  <c r="AA10" i="4"/>
  <c r="AA28" i="4"/>
  <c r="AA38" i="4"/>
  <c r="AA17" i="4"/>
  <c r="AA43" i="4"/>
  <c r="AA49" i="4"/>
  <c r="AA30" i="4"/>
  <c r="AA13" i="4"/>
  <c r="AA21" i="4"/>
  <c r="AA40" i="4"/>
  <c r="I24" i="6"/>
  <c r="J24" i="6" s="1"/>
  <c r="K24" i="6" s="1"/>
  <c r="O17" i="6"/>
  <c r="S17" i="6" s="1"/>
  <c r="AN141" i="4"/>
  <c r="BI124" i="4"/>
  <c r="BI141" i="4" s="1"/>
  <c r="S13" i="6"/>
  <c r="AQ137" i="4"/>
  <c r="BL125" i="4"/>
  <c r="BL137" i="4"/>
  <c r="BL133" i="4"/>
  <c r="AN145" i="4"/>
  <c r="AO57" i="4"/>
  <c r="Q207" i="1"/>
  <c r="R85" i="16" s="1"/>
  <c r="R73" i="16"/>
  <c r="J35" i="6"/>
  <c r="K35" i="6" s="1"/>
  <c r="M33" i="6"/>
  <c r="P21" i="6"/>
  <c r="Q21" i="6" s="1"/>
  <c r="P29" i="6"/>
  <c r="Q29" i="6" s="1"/>
  <c r="L33" i="6"/>
  <c r="R21" i="6"/>
  <c r="AD24" i="4"/>
  <c r="AD47" i="4"/>
  <c r="S12" i="6"/>
  <c r="AD27" i="4"/>
  <c r="AD14" i="4"/>
  <c r="J16" i="6"/>
  <c r="K16" i="6" s="1"/>
  <c r="M35" i="6"/>
  <c r="P15" i="6"/>
  <c r="AD35" i="4"/>
  <c r="L27" i="6"/>
  <c r="P13" i="6"/>
  <c r="Q13" i="6" s="1"/>
  <c r="P31" i="6"/>
  <c r="Q31" i="6" s="1"/>
  <c r="P32" i="6"/>
  <c r="Q32" i="6" s="1"/>
  <c r="M16" i="6"/>
  <c r="AD18" i="4"/>
  <c r="L20" i="6"/>
  <c r="M20" i="6"/>
  <c r="S31" i="6"/>
  <c r="L10" i="6"/>
  <c r="R32" i="6"/>
  <c r="J11" i="6"/>
  <c r="R16" i="6"/>
  <c r="S25" i="6"/>
  <c r="P25" i="6"/>
  <c r="S33" i="6"/>
  <c r="R36" i="6"/>
  <c r="P9" i="6"/>
  <c r="S9" i="6"/>
  <c r="J28" i="6"/>
  <c r="K28" i="6" s="1"/>
  <c r="L28" i="6"/>
  <c r="R15" i="6"/>
  <c r="N74" i="1" s="1"/>
  <c r="S16" i="6"/>
  <c r="X16" i="6"/>
  <c r="U16" i="6" s="1"/>
  <c r="M27" i="6"/>
  <c r="J10" i="6"/>
  <c r="K10" i="6" s="1"/>
  <c r="AD25" i="4"/>
  <c r="AD7" i="4"/>
  <c r="C79" i="1"/>
  <c r="AD51" i="4"/>
  <c r="AD8" i="4"/>
  <c r="AD32" i="4"/>
  <c r="L8" i="6"/>
  <c r="J22" i="6"/>
  <c r="K22" i="6" s="1"/>
  <c r="AD33" i="4"/>
  <c r="AD39" i="4"/>
  <c r="AD23" i="4"/>
  <c r="P11" i="6"/>
  <c r="Q11" i="6" s="1"/>
  <c r="L7" i="6"/>
  <c r="X28" i="6"/>
  <c r="U28" i="6" s="1"/>
  <c r="AD16" i="4"/>
  <c r="J8" i="6"/>
  <c r="K8" i="6" s="1"/>
  <c r="AD50" i="4"/>
  <c r="L31" i="6"/>
  <c r="M7" i="6"/>
  <c r="R11" i="6"/>
  <c r="L22" i="6"/>
  <c r="X11" i="6"/>
  <c r="X27" i="6"/>
  <c r="U27" i="6" s="1"/>
  <c r="R28" i="6"/>
  <c r="L11" i="6"/>
  <c r="N147" i="1" s="1"/>
  <c r="AD22" i="4"/>
  <c r="R12" i="6"/>
  <c r="L23" i="6"/>
  <c r="X25" i="6"/>
  <c r="M26" i="6"/>
  <c r="J9" i="6"/>
  <c r="M25" i="6"/>
  <c r="AD52" i="4"/>
  <c r="L26" i="6"/>
  <c r="L25" i="6"/>
  <c r="S7" i="6"/>
  <c r="P10" i="6"/>
  <c r="L72" i="1" s="1"/>
  <c r="L17" i="6"/>
  <c r="P24" i="6"/>
  <c r="Q24" i="6" s="1"/>
  <c r="S23" i="6"/>
  <c r="R26" i="6"/>
  <c r="S8" i="6"/>
  <c r="M19" i="6"/>
  <c r="L36" i="6"/>
  <c r="X26" i="6"/>
  <c r="U26" i="6" s="1"/>
  <c r="AD37" i="4"/>
  <c r="M18" i="6"/>
  <c r="S10" i="6"/>
  <c r="S26" i="6"/>
  <c r="J18" i="6"/>
  <c r="K18" i="6" s="1"/>
  <c r="R7" i="6"/>
  <c r="N72" i="1" s="1"/>
  <c r="X7" i="6"/>
  <c r="P23" i="6"/>
  <c r="Q23" i="6" s="1"/>
  <c r="S24" i="6"/>
  <c r="X23" i="6"/>
  <c r="U23" i="6" s="1"/>
  <c r="X9" i="6"/>
  <c r="R30" i="6"/>
  <c r="X18" i="6"/>
  <c r="U18" i="6" s="1"/>
  <c r="AD26" i="4"/>
  <c r="X8" i="6"/>
  <c r="P27" i="6"/>
  <c r="Q27" i="6" s="1"/>
  <c r="L9" i="6"/>
  <c r="N146" i="1" s="1"/>
  <c r="X10" i="6"/>
  <c r="M17" i="6"/>
  <c r="AD54" i="4"/>
  <c r="P8" i="6"/>
  <c r="M23" i="6"/>
  <c r="J19" i="6"/>
  <c r="K19" i="6" s="1"/>
  <c r="AD55" i="4"/>
  <c r="S28" i="6"/>
  <c r="S27" i="6"/>
  <c r="P30" i="6"/>
  <c r="Q30" i="6" s="1"/>
  <c r="AM139" i="4"/>
  <c r="BH122" i="4"/>
  <c r="BH139" i="4" s="1"/>
  <c r="L21" i="6"/>
  <c r="M21" i="6"/>
  <c r="P14" i="6"/>
  <c r="R14" i="6"/>
  <c r="N75" i="1" s="1"/>
  <c r="X21" i="6"/>
  <c r="U21" i="6" s="1"/>
  <c r="J21" i="6"/>
  <c r="K21" i="6" s="1"/>
  <c r="M37" i="6"/>
  <c r="L37" i="6"/>
  <c r="S18" i="6"/>
  <c r="P18" i="6"/>
  <c r="Q18" i="6" s="1"/>
  <c r="X31" i="6"/>
  <c r="U31" i="6" s="1"/>
  <c r="M31" i="6"/>
  <c r="J36" i="6"/>
  <c r="K36" i="6" s="1"/>
  <c r="M36" i="6"/>
  <c r="BE137" i="4"/>
  <c r="AJ137" i="4"/>
  <c r="AH57" i="4"/>
  <c r="AJ140" i="4"/>
  <c r="AF123" i="4"/>
  <c r="BA123" i="4" s="1"/>
  <c r="BA140" i="4" s="1"/>
  <c r="AI57" i="4"/>
  <c r="AF122" i="4"/>
  <c r="AF139" i="4" s="1"/>
  <c r="AJ57" i="4"/>
  <c r="AF57" i="4"/>
  <c r="AK57" i="4"/>
  <c r="BE139" i="4"/>
  <c r="AJ139" i="4"/>
  <c r="AF132" i="4"/>
  <c r="BA132" i="4" s="1"/>
  <c r="AJ141" i="4"/>
  <c r="BE141" i="4"/>
  <c r="AF141" i="4"/>
  <c r="BA124" i="4"/>
  <c r="BA141" i="4" s="1"/>
  <c r="BE133" i="4"/>
  <c r="BE140" i="4"/>
  <c r="AF130" i="4"/>
  <c r="BA130" i="4" s="1"/>
  <c r="AF121" i="4"/>
  <c r="AD121" i="4" s="1"/>
  <c r="BY8" i="4" s="1"/>
  <c r="AF120" i="4"/>
  <c r="AD120" i="4" s="1"/>
  <c r="BY7" i="4" s="1"/>
  <c r="AM123" i="4"/>
  <c r="AS123" i="4" s="1"/>
  <c r="CA10" i="4" s="1"/>
  <c r="AM131" i="4"/>
  <c r="BH131" i="4" s="1"/>
  <c r="AM120" i="4"/>
  <c r="AS120" i="4" s="1"/>
  <c r="CA7" i="4" s="1"/>
  <c r="AJ138" i="4"/>
  <c r="BE138" i="4"/>
  <c r="BE125" i="4"/>
  <c r="AG57" i="4"/>
  <c r="AG145" i="4"/>
  <c r="AM124" i="4"/>
  <c r="AS124" i="4" s="1"/>
  <c r="CA11" i="4" s="1"/>
  <c r="AM132" i="4"/>
  <c r="BH132" i="4" s="1"/>
  <c r="AM129" i="4"/>
  <c r="BH129" i="4" s="1"/>
  <c r="AM121" i="4"/>
  <c r="AS121" i="4" s="1"/>
  <c r="CA8" i="4" s="1"/>
  <c r="X18" i="4"/>
  <c r="K61" i="6"/>
  <c r="F6" i="6" s="1"/>
  <c r="L42" i="6"/>
  <c r="L61" i="6" s="1"/>
  <c r="E6" i="6" s="1"/>
  <c r="S36" i="6" l="1"/>
  <c r="X36" i="6"/>
  <c r="X37" i="6"/>
  <c r="U37" i="6" s="1"/>
  <c r="L12" i="6"/>
  <c r="N148" i="1" s="1"/>
  <c r="S37" i="6"/>
  <c r="R37" i="6"/>
  <c r="X12" i="6"/>
  <c r="R33" i="6"/>
  <c r="X33" i="6"/>
  <c r="U33" i="6" s="1"/>
  <c r="M12" i="6"/>
  <c r="X27" i="4"/>
  <c r="AD122" i="4"/>
  <c r="BY9" i="4" s="1"/>
  <c r="AR138" i="4"/>
  <c r="AR121" i="4" s="1"/>
  <c r="AR129" i="4" s="1"/>
  <c r="AQ142" i="4"/>
  <c r="L168" i="1" s="1"/>
  <c r="M203" i="1" s="1"/>
  <c r="N81" i="16" s="1"/>
  <c r="BL142" i="4"/>
  <c r="N168" i="1" s="1"/>
  <c r="O203" i="1" s="1"/>
  <c r="P81" i="16" s="1"/>
  <c r="AR140" i="4"/>
  <c r="AR123" i="4" s="1"/>
  <c r="AR131" i="4" s="1"/>
  <c r="AR139" i="4"/>
  <c r="AR122" i="4" s="1"/>
  <c r="AR130" i="4" s="1"/>
  <c r="AR58" i="4"/>
  <c r="L147" i="1"/>
  <c r="L146" i="1"/>
  <c r="L144" i="1"/>
  <c r="L145" i="1"/>
  <c r="L129" i="1"/>
  <c r="L58" i="1"/>
  <c r="O193" i="1" s="1"/>
  <c r="P71" i="16" s="1"/>
  <c r="L75" i="1"/>
  <c r="Q9" i="6"/>
  <c r="L74" i="1"/>
  <c r="L73" i="1"/>
  <c r="X30" i="4"/>
  <c r="X38" i="4"/>
  <c r="X9" i="4"/>
  <c r="X10" i="4"/>
  <c r="X50" i="4"/>
  <c r="J58" i="1"/>
  <c r="M193" i="1" s="1"/>
  <c r="N71" i="16" s="1"/>
  <c r="X11" i="4"/>
  <c r="X7" i="4"/>
  <c r="Y57" i="4"/>
  <c r="X8" i="4"/>
  <c r="W57" i="4"/>
  <c r="AB49" i="4"/>
  <c r="AC49" i="4" s="1"/>
  <c r="AB43" i="4"/>
  <c r="AC43" i="4" s="1"/>
  <c r="AD38" i="4"/>
  <c r="AB38" i="4"/>
  <c r="AC38" i="4" s="1"/>
  <c r="AB40" i="4"/>
  <c r="AC40" i="4" s="1"/>
  <c r="AD30" i="4"/>
  <c r="AB30" i="4"/>
  <c r="AC30" i="4" s="1"/>
  <c r="AB28" i="4"/>
  <c r="AC28" i="4" s="1"/>
  <c r="AB21" i="4"/>
  <c r="AC21" i="4" s="1"/>
  <c r="AB17" i="4"/>
  <c r="AD10" i="4"/>
  <c r="AB10" i="4"/>
  <c r="J131" i="1" s="1"/>
  <c r="AB13" i="4"/>
  <c r="X19" i="6"/>
  <c r="U19" i="6" s="1"/>
  <c r="X29" i="6"/>
  <c r="U29" i="6" s="1"/>
  <c r="X24" i="6"/>
  <c r="U24" i="6" s="1"/>
  <c r="R19" i="6"/>
  <c r="X32" i="6"/>
  <c r="U32" i="6" s="1"/>
  <c r="J29" i="6"/>
  <c r="K29" i="6" s="1"/>
  <c r="S19" i="6"/>
  <c r="L24" i="6"/>
  <c r="L29" i="6"/>
  <c r="M32" i="6"/>
  <c r="M24" i="6"/>
  <c r="L32" i="6"/>
  <c r="J129" i="1"/>
  <c r="J128" i="1"/>
  <c r="X30" i="6"/>
  <c r="U30" i="6" s="1"/>
  <c r="X15" i="6"/>
  <c r="L15" i="6"/>
  <c r="L14" i="6"/>
  <c r="AD21" i="4"/>
  <c r="L30" i="6"/>
  <c r="M15" i="6"/>
  <c r="AD49" i="4"/>
  <c r="J30" i="6"/>
  <c r="K30" i="6" s="1"/>
  <c r="L13" i="6"/>
  <c r="M13" i="6"/>
  <c r="AD28" i="4"/>
  <c r="X13" i="6"/>
  <c r="U13" i="6" s="1"/>
  <c r="AD43" i="4"/>
  <c r="P35" i="6"/>
  <c r="Q35" i="6" s="1"/>
  <c r="X35" i="6"/>
  <c r="U35" i="6" s="1"/>
  <c r="X6" i="6"/>
  <c r="U36" i="6" s="1"/>
  <c r="J14" i="6"/>
  <c r="K14" i="6" s="1"/>
  <c r="AD40" i="4"/>
  <c r="L6" i="6"/>
  <c r="X14" i="6"/>
  <c r="S35" i="6"/>
  <c r="AD17" i="4"/>
  <c r="L128" i="1" s="1"/>
  <c r="X20" i="6"/>
  <c r="U20" i="6" s="1"/>
  <c r="AD13" i="4"/>
  <c r="P17" i="6"/>
  <c r="Q17" i="6" s="1"/>
  <c r="R17" i="6"/>
  <c r="P22" i="6"/>
  <c r="Q22" i="6" s="1"/>
  <c r="P6" i="6"/>
  <c r="S22" i="6"/>
  <c r="AA57" i="4"/>
  <c r="X17" i="6"/>
  <c r="U17" i="6" s="1"/>
  <c r="X22" i="6"/>
  <c r="U22" i="6" s="1"/>
  <c r="S20" i="6"/>
  <c r="R20" i="6"/>
  <c r="AR137" i="4"/>
  <c r="AR120" i="4" s="1"/>
  <c r="AR128" i="4" s="1"/>
  <c r="AR141" i="4"/>
  <c r="AR124" i="4" s="1"/>
  <c r="AR132" i="4" s="1"/>
  <c r="M6" i="6"/>
  <c r="S6" i="6"/>
  <c r="R6" i="6"/>
  <c r="N71" i="1" s="1"/>
  <c r="AF140" i="4"/>
  <c r="AD123" i="4"/>
  <c r="BY10" i="4" s="1"/>
  <c r="BQ31" i="4" s="1"/>
  <c r="BR31" i="4" s="1"/>
  <c r="BO31" i="4" s="1"/>
  <c r="BA122" i="4"/>
  <c r="BA139" i="4" s="1"/>
  <c r="AK58" i="4"/>
  <c r="AF137" i="4"/>
  <c r="BE142" i="4"/>
  <c r="AK138" i="4"/>
  <c r="AK121" i="4" s="1"/>
  <c r="AK129" i="4" s="1"/>
  <c r="BA121" i="4"/>
  <c r="BA138" i="4" s="1"/>
  <c r="AK141" i="4"/>
  <c r="AK124" i="4" s="1"/>
  <c r="AK132" i="4" s="1"/>
  <c r="AK140" i="4"/>
  <c r="AK123" i="4" s="1"/>
  <c r="AK131" i="4" s="1"/>
  <c r="AK139" i="4"/>
  <c r="AK122" i="4" s="1"/>
  <c r="AK130" i="4" s="1"/>
  <c r="AJ142" i="4"/>
  <c r="BA120" i="4"/>
  <c r="BA137" i="4" s="1"/>
  <c r="N178" i="1" s="1"/>
  <c r="AF138" i="4"/>
  <c r="AM137" i="4"/>
  <c r="BH120" i="4"/>
  <c r="BH137" i="4" s="1"/>
  <c r="BH123" i="4"/>
  <c r="BH140" i="4" s="1"/>
  <c r="AM140" i="4"/>
  <c r="AK137" i="4"/>
  <c r="AK120" i="4" s="1"/>
  <c r="AK128" i="4" s="1"/>
  <c r="BH121" i="4"/>
  <c r="BH138" i="4" s="1"/>
  <c r="N164" i="1" s="1"/>
  <c r="AM138" i="4"/>
  <c r="AM141" i="4"/>
  <c r="BH124" i="4"/>
  <c r="BH141" i="4" s="1"/>
  <c r="L71" i="1" l="1"/>
  <c r="Q36" i="6"/>
  <c r="L165" i="1"/>
  <c r="L166" i="1"/>
  <c r="N166" i="1"/>
  <c r="N163" i="1"/>
  <c r="N165" i="1"/>
  <c r="L164" i="1"/>
  <c r="U12" i="6"/>
  <c r="K12" i="6"/>
  <c r="U9" i="6"/>
  <c r="K11" i="6"/>
  <c r="U11" i="6"/>
  <c r="K6" i="6"/>
  <c r="K9" i="6"/>
  <c r="L149" i="1"/>
  <c r="M201" i="1" s="1"/>
  <c r="N79" i="16" s="1"/>
  <c r="K7" i="6"/>
  <c r="N144" i="1"/>
  <c r="N145" i="1"/>
  <c r="AC13" i="4"/>
  <c r="AC9" i="4"/>
  <c r="AC7" i="4"/>
  <c r="L131" i="1"/>
  <c r="L132" i="1"/>
  <c r="J132" i="1"/>
  <c r="J133" i="1" s="1"/>
  <c r="M199" i="1" s="1"/>
  <c r="N77" i="16" s="1"/>
  <c r="U25" i="6"/>
  <c r="Q10" i="6"/>
  <c r="U10" i="6"/>
  <c r="Q25" i="6"/>
  <c r="U15" i="6"/>
  <c r="Q15" i="6"/>
  <c r="U14" i="6"/>
  <c r="U7" i="6"/>
  <c r="Q14" i="6"/>
  <c r="Q7" i="6"/>
  <c r="Q8" i="6"/>
  <c r="U6" i="6"/>
  <c r="U8" i="6"/>
  <c r="X57" i="4"/>
  <c r="AC8" i="4"/>
  <c r="AC11" i="4"/>
  <c r="Q6" i="6"/>
  <c r="AC17" i="4"/>
  <c r="AB57" i="4"/>
  <c r="AC10" i="4"/>
  <c r="M38" i="6"/>
  <c r="AD57" i="4"/>
  <c r="J38" i="6"/>
  <c r="P38" i="6"/>
  <c r="L76" i="1" s="1"/>
  <c r="M195" i="1" s="1"/>
  <c r="N73" i="16" s="1"/>
  <c r="L38" i="6"/>
  <c r="S38" i="6"/>
  <c r="N167" i="1"/>
  <c r="L163" i="1"/>
  <c r="L167" i="1"/>
  <c r="BQ34" i="4"/>
  <c r="BR34" i="4" s="1"/>
  <c r="BO34" i="4" s="1"/>
  <c r="BQ45" i="4"/>
  <c r="BR45" i="4" s="1"/>
  <c r="BO45" i="4" s="1"/>
  <c r="BQ40" i="4"/>
  <c r="BR40" i="4" s="1"/>
  <c r="BO40" i="4" s="1"/>
  <c r="BQ32" i="4"/>
  <c r="BR32" i="4" s="1"/>
  <c r="BO32" i="4" s="1"/>
  <c r="BQ18" i="4"/>
  <c r="BR18" i="4" s="1"/>
  <c r="BO18" i="4" s="1"/>
  <c r="BQ7" i="4"/>
  <c r="BQ53" i="4"/>
  <c r="BR53" i="4" s="1"/>
  <c r="BO53" i="4" s="1"/>
  <c r="BQ11" i="4"/>
  <c r="BQ55" i="4"/>
  <c r="BR55" i="4" s="1"/>
  <c r="BO55" i="4" s="1"/>
  <c r="BQ49" i="4"/>
  <c r="BR49" i="4" s="1"/>
  <c r="BO49" i="4" s="1"/>
  <c r="BQ28" i="4"/>
  <c r="BR28" i="4" s="1"/>
  <c r="BO28" i="4" s="1"/>
  <c r="BQ36" i="4"/>
  <c r="BR36" i="4" s="1"/>
  <c r="BO36" i="4" s="1"/>
  <c r="BQ12" i="4"/>
  <c r="BR12" i="4" s="1"/>
  <c r="BO12" i="4" s="1"/>
  <c r="BQ14" i="4"/>
  <c r="BQ38" i="4"/>
  <c r="BQ33" i="4"/>
  <c r="BR33" i="4" s="1"/>
  <c r="BO33" i="4" s="1"/>
  <c r="BQ46" i="4"/>
  <c r="BR46" i="4" s="1"/>
  <c r="BO46" i="4" s="1"/>
  <c r="BQ8" i="4"/>
  <c r="BQ52" i="4"/>
  <c r="BR52" i="4" s="1"/>
  <c r="BO52" i="4" s="1"/>
  <c r="BQ15" i="4"/>
  <c r="BR15" i="4" s="1"/>
  <c r="BO15" i="4" s="1"/>
  <c r="BQ56" i="4"/>
  <c r="BR56" i="4" s="1"/>
  <c r="BO56" i="4" s="1"/>
  <c r="BQ19" i="4"/>
  <c r="BQ26" i="4"/>
  <c r="BR26" i="4" s="1"/>
  <c r="BO26" i="4" s="1"/>
  <c r="BQ43" i="4"/>
  <c r="BR43" i="4" s="1"/>
  <c r="BO43" i="4" s="1"/>
  <c r="BQ24" i="4"/>
  <c r="BQ41" i="4"/>
  <c r="BQ47" i="4"/>
  <c r="BR47" i="4" s="1"/>
  <c r="BO47" i="4" s="1"/>
  <c r="BQ10" i="4"/>
  <c r="BQ27" i="4"/>
  <c r="BQ54" i="4"/>
  <c r="BR54" i="4" s="1"/>
  <c r="BO54" i="4" s="1"/>
  <c r="BQ44" i="4"/>
  <c r="BR44" i="4" s="1"/>
  <c r="BO44" i="4" s="1"/>
  <c r="BQ42" i="4"/>
  <c r="BR42" i="4" s="1"/>
  <c r="BO42" i="4" s="1"/>
  <c r="BQ30" i="4"/>
  <c r="BQ21" i="4"/>
  <c r="BQ25" i="4"/>
  <c r="BR25" i="4" s="1"/>
  <c r="BO25" i="4" s="1"/>
  <c r="BQ29" i="4"/>
  <c r="BR29" i="4" s="1"/>
  <c r="BO29" i="4" s="1"/>
  <c r="BQ16" i="4"/>
  <c r="BQ20" i="4"/>
  <c r="BR20" i="4" s="1"/>
  <c r="BO20" i="4" s="1"/>
  <c r="BQ50" i="4"/>
  <c r="BQ51" i="4"/>
  <c r="BR51" i="4" s="1"/>
  <c r="BO51" i="4" s="1"/>
  <c r="BQ23" i="4"/>
  <c r="BR23" i="4" s="1"/>
  <c r="BO23" i="4" s="1"/>
  <c r="BQ22" i="4"/>
  <c r="BR22" i="4" s="1"/>
  <c r="BO22" i="4" s="1"/>
  <c r="BQ39" i="4"/>
  <c r="BR39" i="4" s="1"/>
  <c r="BO39" i="4" s="1"/>
  <c r="BQ17" i="4"/>
  <c r="BQ13" i="4"/>
  <c r="BQ35" i="4"/>
  <c r="BR35" i="4" s="1"/>
  <c r="BO35" i="4" s="1"/>
  <c r="L180" i="1"/>
  <c r="BQ9" i="4"/>
  <c r="BQ48" i="4"/>
  <c r="BR48" i="4" s="1"/>
  <c r="BO48" i="4" s="1"/>
  <c r="BQ37" i="4"/>
  <c r="BR37" i="4" s="1"/>
  <c r="BO37" i="4" s="1"/>
  <c r="R38" i="6"/>
  <c r="N76" i="1" s="1"/>
  <c r="O195" i="1" s="1"/>
  <c r="P73" i="16" s="1"/>
  <c r="L178" i="1"/>
  <c r="N181" i="1"/>
  <c r="N179" i="1"/>
  <c r="N182" i="1"/>
  <c r="N180" i="1"/>
  <c r="L181" i="1"/>
  <c r="L179" i="1"/>
  <c r="L182" i="1"/>
  <c r="BR24" i="4" l="1"/>
  <c r="BO24" i="4" s="1"/>
  <c r="BR27" i="4"/>
  <c r="BO27" i="4" s="1"/>
  <c r="BR21" i="4"/>
  <c r="BO21" i="4" s="1"/>
  <c r="BR19" i="4"/>
  <c r="BO19" i="4" s="1"/>
  <c r="BR16" i="4"/>
  <c r="BO16" i="4" s="1"/>
  <c r="BR41" i="4"/>
  <c r="BO41" i="4" s="1"/>
  <c r="K38" i="6"/>
  <c r="N149" i="1"/>
  <c r="O201" i="1" s="1"/>
  <c r="P79" i="16" s="1"/>
  <c r="L133" i="1"/>
  <c r="O199" i="1" s="1"/>
  <c r="P77" i="16" s="1"/>
  <c r="AC14" i="6"/>
  <c r="Z14" i="6" s="1"/>
  <c r="AA14" i="6" s="1"/>
  <c r="J226" i="1" s="1"/>
  <c r="AC30" i="6"/>
  <c r="Z30" i="6" s="1"/>
  <c r="AB30" i="6" s="1"/>
  <c r="AC32" i="6"/>
  <c r="Z32" i="6" s="1"/>
  <c r="AA32" i="6" s="1"/>
  <c r="AC16" i="6"/>
  <c r="Z16" i="6" s="1"/>
  <c r="AA16" i="6" s="1"/>
  <c r="AC18" i="6"/>
  <c r="Z18" i="6" s="1"/>
  <c r="AB18" i="6" s="1"/>
  <c r="AC26" i="6"/>
  <c r="Z26" i="6" s="1"/>
  <c r="AA26" i="6" s="1"/>
  <c r="AC8" i="6"/>
  <c r="Z8" i="6" s="1"/>
  <c r="AA8" i="6" s="1"/>
  <c r="K220" i="1" s="1"/>
  <c r="AC12" i="6"/>
  <c r="Z12" i="6" s="1"/>
  <c r="AB12" i="6" s="1"/>
  <c r="N103" i="16" s="1"/>
  <c r="Q38" i="6"/>
  <c r="AC20" i="6"/>
  <c r="Z20" i="6" s="1"/>
  <c r="AB20" i="6" s="1"/>
  <c r="AC15" i="6"/>
  <c r="Z15" i="6" s="1"/>
  <c r="AB15" i="6" s="1"/>
  <c r="L227" i="1" s="1"/>
  <c r="AC9" i="6"/>
  <c r="Z9" i="6" s="1"/>
  <c r="AA9" i="6" s="1"/>
  <c r="K221" i="1" s="1"/>
  <c r="AC34" i="6"/>
  <c r="Z34" i="6" s="1"/>
  <c r="AA34" i="6" s="1"/>
  <c r="AC21" i="6"/>
  <c r="Z21" i="6" s="1"/>
  <c r="AB21" i="6" s="1"/>
  <c r="AC7" i="6"/>
  <c r="Z7" i="6" s="1"/>
  <c r="AA7" i="6" s="1"/>
  <c r="K219" i="1" s="1"/>
  <c r="AC17" i="6"/>
  <c r="Z17" i="6" s="1"/>
  <c r="AB17" i="6" s="1"/>
  <c r="AC37" i="6"/>
  <c r="Z37" i="6" s="1"/>
  <c r="AA37" i="6" s="1"/>
  <c r="AC6" i="6"/>
  <c r="Z6" i="6" s="1"/>
  <c r="AA6" i="6" s="1"/>
  <c r="J97" i="16" s="1"/>
  <c r="AC28" i="6"/>
  <c r="Z28" i="6" s="1"/>
  <c r="AB28" i="6" s="1"/>
  <c r="AC22" i="6"/>
  <c r="Z22" i="6" s="1"/>
  <c r="AB22" i="6" s="1"/>
  <c r="AC10" i="6"/>
  <c r="Z10" i="6" s="1"/>
  <c r="AB10" i="6" s="1"/>
  <c r="L222" i="1" s="1"/>
  <c r="AC33" i="6"/>
  <c r="Z33" i="6" s="1"/>
  <c r="AA33" i="6" s="1"/>
  <c r="AC27" i="6"/>
  <c r="Z27" i="6" s="1"/>
  <c r="AB27" i="6" s="1"/>
  <c r="AC23" i="6"/>
  <c r="Z23" i="6" s="1"/>
  <c r="AA23" i="6" s="1"/>
  <c r="AC24" i="6"/>
  <c r="Z24" i="6" s="1"/>
  <c r="AB24" i="6" s="1"/>
  <c r="AC11" i="6"/>
  <c r="Z11" i="6" s="1"/>
  <c r="AA11" i="6" s="1"/>
  <c r="K223" i="1" s="1"/>
  <c r="AC31" i="6"/>
  <c r="Z31" i="6" s="1"/>
  <c r="AB31" i="6" s="1"/>
  <c r="AC19" i="6"/>
  <c r="Z19" i="6" s="1"/>
  <c r="AA19" i="6" s="1"/>
  <c r="AC36" i="6"/>
  <c r="Z36" i="6" s="1"/>
  <c r="AA36" i="6" s="1"/>
  <c r="AC25" i="6"/>
  <c r="Z25" i="6" s="1"/>
  <c r="AB25" i="6" s="1"/>
  <c r="AC35" i="6"/>
  <c r="Z35" i="6" s="1"/>
  <c r="AB35" i="6" s="1"/>
  <c r="AC29" i="6"/>
  <c r="Z29" i="6" s="1"/>
  <c r="AB29" i="6" s="1"/>
  <c r="AC13" i="6"/>
  <c r="Z13" i="6" s="1"/>
  <c r="AA13" i="6" s="1"/>
  <c r="K225" i="1" s="1"/>
  <c r="BR30" i="4"/>
  <c r="BO30" i="4" s="1"/>
  <c r="BR38" i="4"/>
  <c r="BO38" i="4" s="1"/>
  <c r="BR9" i="4"/>
  <c r="BO9" i="4" s="1"/>
  <c r="BR50" i="4"/>
  <c r="BO50" i="4" s="1"/>
  <c r="AC57" i="4"/>
  <c r="BR17" i="4"/>
  <c r="BO17" i="4" s="1"/>
  <c r="BR10" i="4"/>
  <c r="BO10" i="4" s="1"/>
  <c r="BR7" i="4"/>
  <c r="BO7" i="4" s="1"/>
  <c r="BR8" i="4"/>
  <c r="BO8" i="4" s="1"/>
  <c r="BR14" i="4"/>
  <c r="BO14" i="4" s="1"/>
  <c r="BR11" i="4"/>
  <c r="BO11" i="4" s="1"/>
  <c r="BR13" i="4"/>
  <c r="BO13" i="4" s="1"/>
  <c r="N183" i="1"/>
  <c r="O205" i="1" s="1"/>
  <c r="P83" i="16" s="1"/>
  <c r="L183" i="1"/>
  <c r="M205" i="1" s="1"/>
  <c r="N83" i="16" s="1"/>
  <c r="AA17" i="6" l="1"/>
  <c r="AB16" i="6"/>
  <c r="AA30" i="6"/>
  <c r="J105" i="16"/>
  <c r="AB14" i="6"/>
  <c r="N105" i="16" s="1"/>
  <c r="K226" i="1"/>
  <c r="H105" i="16"/>
  <c r="O207" i="1"/>
  <c r="P85" i="16" s="1"/>
  <c r="N101" i="16"/>
  <c r="AB37" i="6"/>
  <c r="AB36" i="6"/>
  <c r="AB8" i="6"/>
  <c r="L220" i="1" s="1"/>
  <c r="J99" i="16"/>
  <c r="N106" i="16"/>
  <c r="AA27" i="6"/>
  <c r="AA12" i="6"/>
  <c r="K224" i="1" s="1"/>
  <c r="AA15" i="6"/>
  <c r="K227" i="1" s="1"/>
  <c r="AA35" i="6"/>
  <c r="AA31" i="6"/>
  <c r="AA28" i="6"/>
  <c r="L224" i="1"/>
  <c r="AB7" i="6"/>
  <c r="N98" i="16" s="1"/>
  <c r="AA20" i="6"/>
  <c r="J98" i="16"/>
  <c r="AB32" i="6"/>
  <c r="AA18" i="6"/>
  <c r="AB34" i="6"/>
  <c r="AA10" i="6"/>
  <c r="J101" i="16" s="1"/>
  <c r="AB13" i="6"/>
  <c r="L225" i="1" s="1"/>
  <c r="AB26" i="6"/>
  <c r="H104" i="16"/>
  <c r="AA24" i="6"/>
  <c r="AB9" i="6"/>
  <c r="J100" i="16"/>
  <c r="AA22" i="6"/>
  <c r="AB19" i="6"/>
  <c r="AB23" i="6"/>
  <c r="AA29" i="6"/>
  <c r="J102" i="16"/>
  <c r="J225" i="1"/>
  <c r="J104" i="16"/>
  <c r="AA25" i="6"/>
  <c r="AB33" i="6"/>
  <c r="K218" i="1"/>
  <c r="AB11" i="6"/>
  <c r="L223" i="1" s="1"/>
  <c r="AB6" i="6"/>
  <c r="L218" i="1" s="1"/>
  <c r="AA21" i="6"/>
  <c r="J103" i="16"/>
  <c r="BT9" i="4"/>
  <c r="BU9" i="4" s="1"/>
  <c r="BW9" i="4" s="1"/>
  <c r="BT13" i="4"/>
  <c r="BU13" i="4" s="1"/>
  <c r="BV13" i="4" s="1"/>
  <c r="BT12" i="4"/>
  <c r="BU12" i="4" s="1"/>
  <c r="BV12" i="4" s="1"/>
  <c r="BT8" i="4"/>
  <c r="BU8" i="4" s="1"/>
  <c r="BV8" i="4" s="1"/>
  <c r="BT15" i="4"/>
  <c r="BU15" i="4" s="1"/>
  <c r="BV15" i="4" s="1"/>
  <c r="BT14" i="4"/>
  <c r="BU14" i="4" s="1"/>
  <c r="BV14" i="4" s="1"/>
  <c r="BT11" i="4"/>
  <c r="BU11" i="4" s="1"/>
  <c r="BV11" i="4" s="1"/>
  <c r="BT7" i="4"/>
  <c r="BU7" i="4" s="1"/>
  <c r="BV7" i="4" s="1"/>
  <c r="BR57" i="4"/>
  <c r="BO57" i="4" s="1"/>
  <c r="BT16" i="4"/>
  <c r="BU16" i="4" s="1"/>
  <c r="BV16" i="4" s="1"/>
  <c r="BT10" i="4"/>
  <c r="BU10" i="4" s="1"/>
  <c r="BV10" i="4" s="1"/>
  <c r="M207" i="1"/>
  <c r="N85" i="16" s="1"/>
  <c r="L226" i="1" l="1"/>
  <c r="N99" i="16"/>
  <c r="H103" i="16"/>
  <c r="J224" i="1"/>
  <c r="H106" i="16"/>
  <c r="N104" i="16"/>
  <c r="J106" i="16"/>
  <c r="J227" i="1"/>
  <c r="L219" i="1"/>
  <c r="K222" i="1"/>
  <c r="N100" i="16"/>
  <c r="L221" i="1"/>
  <c r="N97" i="16"/>
  <c r="N102" i="16"/>
  <c r="BW12" i="4"/>
  <c r="E102" i="16" s="1"/>
  <c r="BV9" i="4"/>
  <c r="D99" i="16" s="1"/>
  <c r="BW16" i="4"/>
  <c r="E227" i="1" s="1"/>
  <c r="BW14" i="4"/>
  <c r="E104" i="16" s="1"/>
  <c r="BW8" i="4"/>
  <c r="E219" i="1" s="1"/>
  <c r="BW13" i="4"/>
  <c r="E103" i="16" s="1"/>
  <c r="BW15" i="4"/>
  <c r="E105" i="16" s="1"/>
  <c r="BW11" i="4"/>
  <c r="E222" i="1" s="1"/>
  <c r="BW10" i="4"/>
  <c r="E100" i="16" s="1"/>
  <c r="BW7" i="4"/>
  <c r="E218" i="1" s="1"/>
  <c r="L85" i="16"/>
  <c r="E220" i="1"/>
  <c r="E99" i="16"/>
  <c r="D223" i="1"/>
  <c r="D102" i="16"/>
  <c r="D106" i="16"/>
  <c r="D227" i="1"/>
  <c r="D219" i="1"/>
  <c r="D98" i="16"/>
  <c r="D222" i="1"/>
  <c r="D101" i="16"/>
  <c r="D97" i="16"/>
  <c r="D218" i="1"/>
  <c r="D105" i="16"/>
  <c r="D226" i="1"/>
  <c r="D100" i="16"/>
  <c r="D221" i="1"/>
  <c r="D225" i="1"/>
  <c r="D104" i="16"/>
  <c r="D103" i="16"/>
  <c r="D224" i="1"/>
  <c r="L228" i="1" l="1"/>
  <c r="D220" i="1"/>
  <c r="E223" i="1"/>
  <c r="E226" i="1"/>
  <c r="E106" i="16"/>
  <c r="E225" i="1"/>
  <c r="E101" i="16"/>
  <c r="E98" i="16"/>
  <c r="E224" i="1"/>
  <c r="E97" i="16"/>
  <c r="E221" i="1"/>
  <c r="E2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Stig Irving Olsen</author>
  </authors>
  <commentList>
    <comment ref="B37" authorId="0" shapeId="0" xr:uid="{00000000-0006-0000-0100-000001000000}">
      <text>
        <r>
          <rPr>
            <b/>
            <sz val="9"/>
            <color indexed="81"/>
            <rFont val="Tahoma"/>
            <family val="2"/>
          </rPr>
          <t>Stig Irving Olsen:</t>
        </r>
        <r>
          <rPr>
            <sz val="9"/>
            <color indexed="81"/>
            <rFont val="Tahoma"/>
            <family val="2"/>
          </rPr>
          <t xml:space="preserve">
Præcisere at i virksomheden betyder på matriklen
Give et par eksempler </t>
        </r>
      </text>
    </comment>
  </commentList>
</comments>
</file>

<file path=xl/sharedStrings.xml><?xml version="1.0" encoding="utf-8"?>
<sst xmlns="http://schemas.openxmlformats.org/spreadsheetml/2006/main" count="1551" uniqueCount="612">
  <si>
    <t>Skal kunne printes på én side - Camilla's forslag er at medtage o</t>
  </si>
  <si>
    <t>BÆREDYGTIG BUNDLINJE, EFFEKTMÅLING</t>
  </si>
  <si>
    <t>Tekst 1</t>
  </si>
  <si>
    <t>Tekst 2</t>
  </si>
  <si>
    <t>Tjek korrekt reference til effektmåling</t>
  </si>
  <si>
    <t>Tekst 3</t>
  </si>
  <si>
    <t>Tekst 4</t>
  </si>
  <si>
    <t>F. Samtlige besparelser</t>
  </si>
  <si>
    <t>Besparelse</t>
  </si>
  <si>
    <t>Her vises de samlede, årlige besparelser i ton CO2-ækv og ton Fe-ækv.</t>
  </si>
  <si>
    <t>B.1. Besparelser i indkøbte materialer</t>
  </si>
  <si>
    <t>Ton</t>
  </si>
  <si>
    <t>B.2. Besparelser i indkøbt el, fjernvarme, og brændsler</t>
  </si>
  <si>
    <t>Forskellige enheder</t>
  </si>
  <si>
    <t xml:space="preserve">B.3. Besparelse i procesrelaterede udledninger. </t>
  </si>
  <si>
    <t>C.1. Materialebesparelse i brugsfasen</t>
  </si>
  <si>
    <t>C.2. Energibesparelse i brugsfasen</t>
  </si>
  <si>
    <t>D.1. Ændringer i bortskaffelse</t>
  </si>
  <si>
    <t>D.2. Ændringer i bortskaffelse af affald</t>
  </si>
  <si>
    <t>Total besparelse</t>
  </si>
  <si>
    <t>t Fe-ækv.</t>
  </si>
  <si>
    <t>GJ</t>
  </si>
  <si>
    <t>Materialebesparelser og energibesparelser</t>
  </si>
  <si>
    <t xml:space="preserve">Her ses de indtastede data fpr materialer og energikilder opsummeret. Process relaterede udledninger kan ses i indtastede tabel. </t>
  </si>
  <si>
    <t>Materialer</t>
  </si>
  <si>
    <t>Mængde [ton]</t>
  </si>
  <si>
    <t>Energikilde</t>
  </si>
  <si>
    <t>Mængde</t>
  </si>
  <si>
    <t>Kæde-effektmåling</t>
  </si>
  <si>
    <t>BB-KEM: Instrukser</t>
  </si>
  <si>
    <r>
      <t>1.</t>
    </r>
    <r>
      <rPr>
        <b/>
        <sz val="7"/>
        <color theme="1"/>
        <rFont val="Times New Roman"/>
        <family val="1"/>
      </rPr>
      <t xml:space="preserve">  </t>
    </r>
    <r>
      <rPr>
        <b/>
        <sz val="12"/>
        <color theme="1"/>
        <rFont val="Arial"/>
        <family val="2"/>
      </rPr>
      <t>Formål</t>
    </r>
  </si>
  <si>
    <t>Formålet med dette værktøj er, at sætte tal på energi- og materialebesparelser som bliver opnået i Bæredygtig Bundlinje, både i deltagervirksomhedens produktion og andre steder i produktets livscyklus.</t>
  </si>
  <si>
    <r>
      <t>Indberetning af energibesparelser skal, ifølge projektforslaget, foregå i Klimakompasset, hvor de opnåede besparelser på virksomhedens matrikel bliver udtrykt i sparede tons CO</t>
    </r>
    <r>
      <rPr>
        <vertAlign val="subscript"/>
        <sz val="11.5"/>
        <color theme="1"/>
        <rFont val="Arial"/>
        <family val="2"/>
      </rPr>
      <t>2</t>
    </r>
    <r>
      <rPr>
        <sz val="11.5"/>
        <color theme="1"/>
        <rFont val="Arial"/>
        <family val="2"/>
      </rPr>
      <t xml:space="preserve">-ækvivalenter. Klimakompasset dækker dog ikke energibesparelser som opstår i produktets brugs- og bortskaffelsesfaser: for eksempel, hvis en grøn forretningsmodel udviklet i Bæredygtig Bundlinje medfører, at en deltagervirksomheds produkt forbruger mindre energi. For at kunne synliggøre denne slags besparelser, kan BB-KEM bruges. </t>
    </r>
  </si>
  <si>
    <t>Besparelser i en virksomheds materialeforbrug som følge af deltagelse i Bæredygtig Bundlinje skal pt. opgøres i tons. Som i tilfældet med energibesparelser, skal projektdeltagere kun indberette besparelsen på virksomhedens matrikel, også når der opstår besparelser andre steder i produktets livscyklus. I BB-KEM kan både besparelser i brugsfasen og på virksomhedens matrikel beregnes.</t>
  </si>
  <si>
    <t>Desuden kan værktøjet bruges til at beregne klima- og materialemæssige effekter som følger med ændringer i håndtering af både virksomhedens affald og produktets bortskaffelsesfase.</t>
  </si>
  <si>
    <t>Fordi energi bliver produceret fra forbrænding af brændsler (i.e. materialer), og fordi materialefremstilling kræver energi, bliver der udregnet klima- og knaphedseffekter for både energi- og materialebesparelser og for ændringer i bortskaffelse af affald.</t>
  </si>
  <si>
    <r>
      <t>Energibesparelser bliver, ligesom i Klimakompasset, udtrykt i tons CO</t>
    </r>
    <r>
      <rPr>
        <vertAlign val="subscript"/>
        <sz val="11.5"/>
        <color theme="1"/>
        <rFont val="Arial"/>
        <family val="2"/>
      </rPr>
      <t>2</t>
    </r>
    <r>
      <rPr>
        <sz val="11.5"/>
        <color theme="1"/>
        <rFont val="Arial"/>
        <family val="2"/>
      </rPr>
      <t>-ækvivalenter, for at kunne sammenligne resultaterne med Klimakompassets output.</t>
    </r>
  </si>
  <si>
    <r>
      <t>Materialebesparelser bliver opgjort i tons jern-ækvivalenter (t Fe-ækv). Dette er et mål for materialeknaphed, ligesom t CO</t>
    </r>
    <r>
      <rPr>
        <vertAlign val="subscript"/>
        <sz val="11.5"/>
        <color theme="1"/>
        <rFont val="Arial"/>
        <family val="2"/>
      </rPr>
      <t>2</t>
    </r>
    <r>
      <rPr>
        <sz val="11.5"/>
        <color theme="1"/>
        <rFont val="Arial"/>
        <family val="2"/>
      </rPr>
      <t>-ækv. er et mål for et materiales klimapåvirkning. Hvis 1 tons af et materiale giver en materialebesparelse på 10 t Fe-ækv, betyder det, at materialet er 10 gange så knapt som jern ift. hvor meget der findes på jorden i reserver som kan udvindes, eller som har potentiale til at blive udvundet.</t>
    </r>
  </si>
  <si>
    <t>Data brugt i BB-KEM er primært data fra Klimakompasset, suppleret med data fra forskellige livscyklusvurderingsdatabaser (ecoinvent 3.1, ILCD) og andre litteraturkilder.</t>
  </si>
  <si>
    <r>
      <t>A.</t>
    </r>
    <r>
      <rPr>
        <b/>
        <sz val="7"/>
        <color theme="1"/>
        <rFont val="Times New Roman"/>
        <family val="1"/>
      </rPr>
      <t xml:space="preserve"> </t>
    </r>
    <r>
      <rPr>
        <b/>
        <sz val="12"/>
        <color theme="1"/>
        <rFont val="Arial"/>
        <family val="2"/>
      </rPr>
      <t>Information om virksomheden</t>
    </r>
  </si>
  <si>
    <t>I de blå felter skal virksomhedens navn, indberettet år, samt virksomhedens kontaktdata udfyldes.</t>
  </si>
  <si>
    <r>
      <t>B.</t>
    </r>
    <r>
      <rPr>
        <b/>
        <sz val="7"/>
        <color theme="1"/>
        <rFont val="Times New Roman"/>
        <family val="1"/>
      </rPr>
      <t xml:space="preserve"> </t>
    </r>
    <r>
      <rPr>
        <b/>
        <sz val="12"/>
        <color theme="1"/>
        <rFont val="Arial"/>
        <family val="2"/>
      </rPr>
      <t>Virksomhedens produkt/produkter</t>
    </r>
  </si>
  <si>
    <t>Her udfyldes navnet af produktet som er omfattet af den grønne forretningsmodel udviklet i Bæredygtig Bundlinje, samt information om produktionstal, forventet levetid, og salg af produktet.</t>
  </si>
  <si>
    <t>Hvis der ikke bliver ændret noget på produktets brugs- og bortskaffelsesfaser, kan virksomhedens navn blive udfyldt i stedet for produktets navn. I dette tilfælde er det heller ikke nødvendigt at udfylde ’Årlig produktion’, ’Forventet levetid’ og de lande, hvor produktet bliver brugt. Disse inputs bliver nemlig brugt for at beregne energi- og/eller materialebesparelser i produktets brugs- og bortskaffelsesfaser, men ikke for beregninger angående ændringer foretaget på virksomhedens matrikel.</t>
  </si>
  <si>
    <t>Hvis der sker ændringer i flere af virksomhedens produkter, laves en ny kopi af værktøjet for hvert produkt.</t>
  </si>
  <si>
    <t>Ved ”Årlig produktion” skal udfyldes, hvor mange styk af produktet der produceres årligt. Dette tal skal være kendt for at kunne beregne energi- eller materialebesparelser i produktets brugsfase.</t>
  </si>
  <si>
    <t>Ved ”Forventet levetid” skal (et skøn over) produktets levetid, dvs. brugsfase, udfyldes. Dette skal kun gøres hvis energi- eller materialebesparelser i brugsfasen bliver opgjort pr. år (se afsnit D). Ellers kan feltet blive tomt.</t>
  </si>
  <si>
    <t>Ved ”Hvor bliver produktet brugt” kan man vælge en række lande fra en dropdown-menu. Hvis et land hvor produktet bliver solgt, ikke er på listen, kan man vælge ”Europa (andet)”. De to kategorier ”-EUROPA” og ”-ROW-” er udelukkende til at kategorisere landene, og kan ikke bruges for at beregne besparelser. Værktøjet giver en fejlmeddelelse hvis disse kategorier bliver anvendt alligevel. Værktøjet giver også fejlmeddelelser hvis den totale salgsprocent ikke er 100%, eller hvis der er udfyldt et salgstal i en række i tabellen, hvor der ikke er udfyldt et land.</t>
  </si>
  <si>
    <r>
      <t>C.</t>
    </r>
    <r>
      <rPr>
        <b/>
        <sz val="7"/>
        <color theme="1"/>
        <rFont val="Times New Roman"/>
        <family val="1"/>
      </rPr>
      <t xml:space="preserve"> </t>
    </r>
    <r>
      <rPr>
        <b/>
        <sz val="12"/>
        <color theme="1"/>
        <rFont val="Arial"/>
        <family val="2"/>
      </rPr>
      <t>Materiale- og Energibesparelser i virksomheden</t>
    </r>
  </si>
  <si>
    <t>Sektion C kan bruges til at indberette besparelser i energi og/eller materialer, som bliver købt ind af virksomheden, og som er opnået i forbindelse med Bæredygtig Bundlinje. Sektion C er opdelt i tre dele:</t>
  </si>
  <si>
    <r>
      <t>1.</t>
    </r>
    <r>
      <rPr>
        <sz val="7"/>
        <color theme="1"/>
        <rFont val="Times New Roman"/>
        <family val="1"/>
      </rPr>
      <t xml:space="preserve">  </t>
    </r>
    <r>
      <rPr>
        <sz val="11.5"/>
        <color theme="1"/>
        <rFont val="Arial"/>
        <family val="2"/>
      </rPr>
      <t>Besparelser i indkøbte materialer</t>
    </r>
  </si>
  <si>
    <r>
      <t>2.</t>
    </r>
    <r>
      <rPr>
        <sz val="7"/>
        <color theme="1"/>
        <rFont val="Times New Roman"/>
        <family val="1"/>
      </rPr>
      <t xml:space="preserve">  </t>
    </r>
    <r>
      <rPr>
        <sz val="11.5"/>
        <color theme="1"/>
        <rFont val="Arial"/>
        <family val="2"/>
      </rPr>
      <t>Besparelser i indkøbt el, fjernvarme og brændsler (energibesparelser)</t>
    </r>
  </si>
  <si>
    <r>
      <t>3.</t>
    </r>
    <r>
      <rPr>
        <sz val="7"/>
        <color theme="1"/>
        <rFont val="Times New Roman"/>
        <family val="1"/>
      </rPr>
      <t xml:space="preserve">  </t>
    </r>
    <r>
      <rPr>
        <sz val="11.5"/>
        <color theme="1"/>
        <rFont val="Arial"/>
        <family val="2"/>
      </rPr>
      <t>Ændringer i bortskaffelse af affald</t>
    </r>
  </si>
  <si>
    <r>
      <t>4.</t>
    </r>
    <r>
      <rPr>
        <sz val="7"/>
        <rFont val="Times New Roman"/>
        <family val="1"/>
      </rPr>
      <t xml:space="preserve">  </t>
    </r>
    <r>
      <rPr>
        <sz val="11.5"/>
        <rFont val="Arial"/>
        <family val="2"/>
      </rPr>
      <t>Besparelse i procesrelaterede udledninger</t>
    </r>
  </si>
  <si>
    <r>
      <t>Klimaeffekterne af energibesparelser på virksomhedens matrikel skal også indberettes og opgøres i Klimakompasset. For at undgå dobbeltindberetning skal resultaterne for klimaeffekterne (t CO</t>
    </r>
    <r>
      <rPr>
        <vertAlign val="subscript"/>
        <sz val="11.5"/>
        <color theme="1"/>
        <rFont val="Arial"/>
        <family val="2"/>
      </rPr>
      <t>2</t>
    </r>
    <r>
      <rPr>
        <sz val="11.5"/>
        <color theme="1"/>
        <rFont val="Arial"/>
        <family val="2"/>
      </rPr>
      <t>-ækv.) af denne sektion ikke medregnes i den endelige opgørelse i forbindelse med Bæredygtig Bundlinje. Ellers bliver klimaeffekterne af energibesparelser på virksomhedens matrikel indberettet to gange: én gang i Klimakompasset og én gang i dette værktøj.</t>
    </r>
  </si>
  <si>
    <t>C.1. Besparelser i indkøbte materialer</t>
  </si>
  <si>
    <r>
      <t>Her kan besparelser i indkøbte materialer udfyldes. Der er plads til maksimalt fem materialer i værktøjet</t>
    </r>
    <r>
      <rPr>
        <sz val="8"/>
        <color theme="1"/>
        <rFont val="Arial"/>
        <family val="2"/>
      </rPr>
      <t> </t>
    </r>
    <r>
      <rPr>
        <sz val="11.5"/>
        <color theme="1"/>
        <rFont val="Arial"/>
        <family val="2"/>
      </rPr>
      <t>. Eventuelle ekstra materialer kan blive medtages i en ny kopi af værktøjet. Materialer kan vælges ud fra en række materialer i en dropdownmenu. Den mængde der spares årligt skal også udfyldes.</t>
    </r>
  </si>
  <si>
    <t>Besparelserne skal udfyldes i tons sparet pr. år.</t>
  </si>
  <si>
    <r>
      <t>Skulle der som følge af den nye, grønne forretningsplan blive indkøbt en større mængde af et materiale, vil besparelsen blive negativ.</t>
    </r>
    <r>
      <rPr>
        <sz val="8"/>
        <color theme="1"/>
        <rFont val="Arial"/>
        <family val="2"/>
      </rPr>
      <t> </t>
    </r>
  </si>
  <si>
    <t>C.2. Besparelser i indkøbt el, fjernvarme, og brændsler</t>
  </si>
  <si>
    <t xml:space="preserve">Her kan besparelser i forskellige arter af indkøbt energi udfyldes. Hvis besparelser i energi bliver udfyldt her, skal resultaterne for klimaeffekterne af denne sektion ikke medregnes i den endelige Bæredygtig Bundlinje-opgørelse. Energikilder kan vælges fra en dropdownmenu. Den årligt sparede mængde skal udfyldes. Hvis der indgår biobrændsel skal der angives hvor mange % biobrændstof. </t>
  </si>
  <si>
    <t>Besparelserne skal udfyldes i kWh, liter, tons, eller kubikmeter pr. år, afhængigt af den valgte energikilde. For de fleste energikilder er det muligt at vælge mellem mere end én enhed, så omregning af tal skulle ikke være nødvendigt.</t>
  </si>
  <si>
    <t>Skulle der som følge af den nye, grønne forretningsplan blive indkøbt en større mængde el, fjernvarme eller en anden brændsel, vil besparelsen blive negativ.</t>
  </si>
  <si>
    <t>C.3. Ændringer i bortskaffelse af affald</t>
  </si>
  <si>
    <t>Her kan ændringer i bortskaffelse af affald fra virksomhedens matrikel indberettes. Dette er muligt for op til fem materialer. Der skal angives:</t>
  </si>
  <si>
    <r>
      <t>·</t>
    </r>
    <r>
      <rPr>
        <sz val="7"/>
        <color theme="1"/>
        <rFont val="Times New Roman"/>
        <family val="1"/>
      </rPr>
      <t>     </t>
    </r>
    <r>
      <rPr>
        <sz val="11.5"/>
        <color theme="1"/>
        <rFont val="Arial"/>
        <family val="2"/>
      </rPr>
      <t>materialet med ændret bortskaffelsespraksis - kan vælges fra en dropdownmenu;</t>
    </r>
  </si>
  <si>
    <r>
      <t>·</t>
    </r>
    <r>
      <rPr>
        <sz val="7"/>
        <color theme="1"/>
        <rFont val="Times New Roman"/>
        <family val="1"/>
      </rPr>
      <t xml:space="preserve">      </t>
    </r>
    <r>
      <rPr>
        <sz val="11.5"/>
        <color theme="1"/>
        <rFont val="Arial"/>
        <family val="2"/>
      </rPr>
      <t>den årlige mængde af det materiale, som er omfattet af den ændrede bortskaffelsespraksis;</t>
    </r>
  </si>
  <si>
    <r>
      <t>·</t>
    </r>
    <r>
      <rPr>
        <sz val="7"/>
        <color theme="1"/>
        <rFont val="Times New Roman"/>
        <family val="1"/>
      </rPr>
      <t xml:space="preserve">      </t>
    </r>
    <r>
      <rPr>
        <sz val="11.5"/>
        <color theme="1"/>
        <rFont val="Arial"/>
        <family val="2"/>
      </rPr>
      <t>hvad er den ændrede bortskaffelsespraksis  - kan vælges fra en dropdownmenu.</t>
    </r>
  </si>
  <si>
    <t>Mængder skal udfyldes i tons pr. år.</t>
  </si>
  <si>
    <r>
      <t>BB-KEM skelner mellem 4 affaldshåndteringsmetoder:</t>
    </r>
    <r>
      <rPr>
        <sz val="8"/>
        <color theme="1"/>
        <rFont val="Arial"/>
        <family val="2"/>
      </rPr>
      <t> </t>
    </r>
  </si>
  <si>
    <r>
      <t>·</t>
    </r>
    <r>
      <rPr>
        <sz val="7"/>
        <color theme="1"/>
        <rFont val="Times New Roman"/>
        <family val="1"/>
      </rPr>
      <t xml:space="preserve">      </t>
    </r>
    <r>
      <rPr>
        <sz val="11.5"/>
        <color theme="1"/>
        <rFont val="Arial"/>
        <family val="2"/>
      </rPr>
      <t>Genbrug: materialet bliver brugt igen til samme formål, eller bliver brugt uden meget bearbejdning som råvare i en ny produktion (”re-use”).</t>
    </r>
  </si>
  <si>
    <r>
      <t>·</t>
    </r>
    <r>
      <rPr>
        <sz val="7"/>
        <color theme="1"/>
        <rFont val="Times New Roman"/>
        <family val="1"/>
      </rPr>
      <t xml:space="preserve">      </t>
    </r>
    <r>
      <rPr>
        <sz val="11.5"/>
        <color theme="1"/>
        <rFont val="Arial"/>
        <family val="2"/>
      </rPr>
      <t>Genanvendelse: materialet bliver brugt igen som råvare efter bearbejdning (”recycling”).</t>
    </r>
  </si>
  <si>
    <r>
      <t>·</t>
    </r>
    <r>
      <rPr>
        <sz val="7"/>
        <color theme="1"/>
        <rFont val="Times New Roman"/>
        <family val="1"/>
      </rPr>
      <t xml:space="preserve">      </t>
    </r>
    <r>
      <rPr>
        <sz val="11.5"/>
        <color theme="1"/>
        <rFont val="Arial"/>
        <family val="2"/>
      </rPr>
      <t>Forbrænding: materialet bliver forbrændt. Antagelsen er, at dette erstatter kul i elproduktion.</t>
    </r>
  </si>
  <si>
    <r>
      <t>·</t>
    </r>
    <r>
      <rPr>
        <sz val="7"/>
        <color theme="1"/>
        <rFont val="Times New Roman"/>
        <family val="1"/>
      </rPr>
      <t xml:space="preserve">      </t>
    </r>
    <r>
      <rPr>
        <sz val="11.5"/>
        <color theme="1"/>
        <rFont val="Arial"/>
        <family val="2"/>
      </rPr>
      <t>Deponi: materialet bliver kørt til en losseplads.</t>
    </r>
  </si>
  <si>
    <t>C.4. Besparelse i procesrelaterede udledninger</t>
  </si>
  <si>
    <r>
      <t xml:space="preserve">I denne tabel indtastes de oprindelige udledninger i </t>
    </r>
    <r>
      <rPr>
        <i/>
        <sz val="12"/>
        <color theme="1"/>
        <rFont val="Arial"/>
        <family val="2"/>
      </rPr>
      <t>baseline</t>
    </r>
    <r>
      <rPr>
        <sz val="12"/>
        <color theme="1"/>
        <rFont val="Arial"/>
        <family val="2"/>
      </rPr>
      <t xml:space="preserve"> og det nye </t>
    </r>
    <r>
      <rPr>
        <i/>
        <sz val="12"/>
        <color theme="1"/>
        <rFont val="Arial"/>
        <family val="2"/>
      </rPr>
      <t xml:space="preserve">fremtidige forbrug (FF) </t>
    </r>
    <r>
      <rPr>
        <sz val="12"/>
        <color theme="1"/>
        <rFont val="Arial"/>
        <family val="2"/>
      </rPr>
      <t>ved implementering af en grøn forretningsmodel.</t>
    </r>
  </si>
  <si>
    <r>
      <t xml:space="preserve">Udledningerne indtastes i ton ud fra den pågældende gas. Besparelse regnes derefter i ton for at give den reelle mængde og regnes derefter til CO2-ækvivalenter. </t>
    </r>
    <r>
      <rPr>
        <sz val="8"/>
        <color theme="1"/>
        <rFont val="Arial"/>
        <family val="2"/>
      </rPr>
      <t> </t>
    </r>
  </si>
  <si>
    <r>
      <t>D.</t>
    </r>
    <r>
      <rPr>
        <b/>
        <sz val="7"/>
        <color theme="1"/>
        <rFont val="Times New Roman"/>
        <family val="1"/>
      </rPr>
      <t xml:space="preserve"> </t>
    </r>
    <r>
      <rPr>
        <b/>
        <sz val="12"/>
        <color theme="1"/>
        <rFont val="Arial"/>
        <family val="2"/>
      </rPr>
      <t>Materiale- og Energibesparelser i produktets brugsfase</t>
    </r>
  </si>
  <si>
    <t xml:space="preserve">Her skal indberettes materiale- og/eller energibesparelser i produktets brugsfase, som er opnået eller skønnet til at kunne blive opnået, som følge af forretningsplanen udviklet i Bæredygtig Bundlinje. </t>
  </si>
  <si>
    <r>
      <t>Denne sektion handler om materialer som bliver forbrugt i produktets brugsfase. Eksempel: hvis produktet er en elcykel, der som del af Bæredygtig Bundlinje er blevet mere energi-effektiv og lettere, så skal den sparede mængde el indberettes her. Det sparede materiale i cyklen skal dog</t>
    </r>
    <r>
      <rPr>
        <sz val="8"/>
        <color theme="1"/>
        <rFont val="Arial"/>
        <family val="2"/>
      </rPr>
      <t> </t>
    </r>
    <r>
      <rPr>
        <sz val="11.5"/>
        <color theme="1"/>
        <rFont val="Arial"/>
        <family val="2"/>
      </rPr>
      <t xml:space="preserve"> indberettes her, men i sektion C, fordi virksomheden har kunnet indkøbe en mindre mængde af materialet.</t>
    </r>
  </si>
  <si>
    <t>Sektionen er delt i to: første del handler om energibesparelse, og anden del om materialebesparelse.</t>
  </si>
  <si>
    <t>Besparelserne bliver opgjort over produktets hele brugsfase, men kan indberettes på to måder:</t>
  </si>
  <si>
    <r>
      <t>·</t>
    </r>
    <r>
      <rPr>
        <sz val="7"/>
        <color theme="1"/>
        <rFont val="Times New Roman"/>
        <family val="1"/>
      </rPr>
      <t xml:space="preserve">      </t>
    </r>
    <r>
      <rPr>
        <sz val="11.5"/>
        <color theme="1"/>
        <rFont val="Arial"/>
        <family val="2"/>
      </rPr>
      <t>over produktets levetid, dvs. hele brugsfasen;</t>
    </r>
  </si>
  <si>
    <r>
      <t>·</t>
    </r>
    <r>
      <rPr>
        <sz val="7"/>
        <color theme="1"/>
        <rFont val="Times New Roman"/>
        <family val="1"/>
      </rPr>
      <t xml:space="preserve">      </t>
    </r>
    <r>
      <rPr>
        <sz val="11.5"/>
        <color theme="1"/>
        <rFont val="Arial"/>
        <family val="2"/>
      </rPr>
      <t>pr. år. Hvis denne mulighed bliver valgt, er det vigtigt at udfylde produktets levetid i sektion B.</t>
    </r>
  </si>
  <si>
    <t>Indberetningsmåde vælges i dropdownmenuen under ”Hvordan skal besparelser beregnes?”.</t>
  </si>
  <si>
    <t>Besparelserne skal indberettes for ét styk produkt. Derfor er det vigtigt at udfylde den årlige produktion i sektion B.</t>
  </si>
  <si>
    <t>D.1. Materialebesparelse i brugsfasen</t>
  </si>
  <si>
    <t>Her kan besparelser i forbrugte materialer i produktets brugsfase udfyldes. Der er plads til maksimalt fem materialer i værktøjet. Eventuelle ekstra materialer kan udfyldes i en ny kopi af værktøjet. Materialer kan vælges ud fra en række materialer i en dropdownmenu. Den årligt sparede mængde skal også udfyldes.</t>
  </si>
  <si>
    <t>Besparelserne skal udfyldes i tons sparet pr. år pr. styk produkt.</t>
  </si>
  <si>
    <t>Skulle der som følge af den nye, grønne forretningsplan blive forbrugt en større mængde af et materiale, vil besparelsen blive negativ.</t>
  </si>
  <si>
    <t>D.2. Energibesparelse i brugsfasen</t>
  </si>
  <si>
    <t xml:space="preserve">Her kan besparelser i brug af forskellige slags energi udfyldes. Energikilderne kan vælges fra en dropdownmenu. Den årligt sparede mængde skal udfyldes. Hvis der indgår biobrændsel skal der angives hvor mange % biobrændstof. </t>
  </si>
  <si>
    <t>Besparelserne skal udfyldes i kWh, liter, tons, eller kubikmeter pr. år, afhængigt af den valgte energikilde. For de fleste energikilder er det muligt at vælge mellem mere end én enhed.</t>
  </si>
  <si>
    <t>Skulle der som følge af den nye, grønne forretningsplan blive forbrugt en større mængde el, fjernvarme eller en anden brændsel, vil besparelsen blive negativ.</t>
  </si>
  <si>
    <r>
      <t>E.</t>
    </r>
    <r>
      <rPr>
        <b/>
        <sz val="7"/>
        <color theme="1"/>
        <rFont val="Times New Roman"/>
        <family val="1"/>
      </rPr>
      <t xml:space="preserve">  </t>
    </r>
    <r>
      <rPr>
        <b/>
        <sz val="12"/>
        <color theme="1"/>
        <rFont val="Arial"/>
        <family val="2"/>
      </rPr>
      <t>Ændringer i produktets bortskaffelsesfase</t>
    </r>
  </si>
  <si>
    <t>Ændringer i bortskaffelsen af produktet, efter dets brugsfase, kan registreres her. Denne sektion skal kun udfyldes, hvis der i forbindelse med Bæredygtig Bundlinje, er gennemført en ændring i produktets design, som medfører at produktet, eller dele af produktet bliver bortskaffet på en anden måde end det nuværende produkt.</t>
  </si>
  <si>
    <t>Hvis produktet er blevet lettere, eller hvis der er skiftet materialer eller komponenter, skal det ikke indberettes her. Disse besparelser eller ændringer skal indberettes i sektion ’C.1. Besparelser i indkøbte materialer’, fordi virksomheden har kunnet købe en mindre mængde materiale, eller har indkøbt andre materialer.</t>
  </si>
  <si>
    <t>Dette er muligt for op til fem materialer. Der skal angives</t>
  </si>
  <si>
    <r>
      <t>·</t>
    </r>
    <r>
      <rPr>
        <sz val="7"/>
        <color theme="1"/>
        <rFont val="Times New Roman"/>
        <family val="1"/>
      </rPr>
      <t xml:space="preserve">      </t>
    </r>
    <r>
      <rPr>
        <sz val="11.5"/>
        <color theme="1"/>
        <rFont val="Arial"/>
        <family val="2"/>
      </rPr>
      <t>et materiale, som kan vælges fra en dropdownmenu;</t>
    </r>
  </si>
  <si>
    <r>
      <t>·</t>
    </r>
    <r>
      <rPr>
        <sz val="7"/>
        <color theme="1"/>
        <rFont val="Times New Roman"/>
        <family val="1"/>
      </rPr>
      <t xml:space="preserve">      </t>
    </r>
    <r>
      <rPr>
        <sz val="11.5"/>
        <color theme="1"/>
        <rFont val="Arial"/>
        <family val="2"/>
      </rPr>
      <t>den mængde af dette materiale pr. ét styk produkt, som er omfattet af den ændrede bortskaffelsespraksis;</t>
    </r>
  </si>
  <si>
    <r>
      <t>·</t>
    </r>
    <r>
      <rPr>
        <sz val="7"/>
        <color theme="1"/>
        <rFont val="Times New Roman"/>
        <family val="1"/>
      </rPr>
      <t xml:space="preserve">      </t>
    </r>
    <r>
      <rPr>
        <sz val="11.5"/>
        <color theme="1"/>
        <rFont val="Arial"/>
        <family val="2"/>
      </rPr>
      <t>hvad der er ændret mht. bortskaffelsen, som også kan vælges fra en dropdownmenu. BB-KEM skelner mellem 4 affaldhåndteringsmetoder: genbrug, genanvendelse, forbrænding, deponi (se sektion C.3.)</t>
    </r>
  </si>
  <si>
    <t>Mængder skal udfyldes i tons.</t>
  </si>
  <si>
    <r>
      <t>F.</t>
    </r>
    <r>
      <rPr>
        <b/>
        <sz val="7"/>
        <color theme="1"/>
        <rFont val="Times New Roman"/>
        <family val="1"/>
      </rPr>
      <t xml:space="preserve">  </t>
    </r>
    <r>
      <rPr>
        <b/>
        <sz val="12"/>
        <color theme="1"/>
        <rFont val="Arial"/>
        <family val="2"/>
      </rPr>
      <t>Samtlige besparelser</t>
    </r>
  </si>
  <si>
    <r>
      <t>I denne sektion vises de årlige klima- og ressourceeffekter af besparelserne opnået som følge af den nye forretningsplan udviklet i Bæredygtig Bundlinje. Effekter af energi besparelser er opgjort i t CO</t>
    </r>
    <r>
      <rPr>
        <vertAlign val="subscript"/>
        <sz val="11.5"/>
        <color theme="1"/>
        <rFont val="Arial"/>
        <family val="2"/>
      </rPr>
      <t>2</t>
    </r>
    <r>
      <rPr>
        <sz val="11.5"/>
        <color theme="1"/>
        <rFont val="Arial"/>
        <family val="2"/>
      </rPr>
      <t>-ækv mens materialebesparelser bliver målt som t Fe-ækv. Desuden bliver materialebesparelser også vist i tons. Her vises den sparede mængde materialer i virksomheden og i brugsfasen, og den mængde af brændsler som er sparet.</t>
    </r>
  </si>
  <si>
    <r>
      <t>Hvis energibesparelsen på virksomhedens matrikel allerede er indberettet i Klimakompasset, skal resultaterne for klima (i t CO</t>
    </r>
    <r>
      <rPr>
        <vertAlign val="subscript"/>
        <sz val="11.5"/>
        <color theme="1"/>
        <rFont val="Arial"/>
        <family val="2"/>
      </rPr>
      <t>2</t>
    </r>
    <r>
      <rPr>
        <sz val="11.5"/>
        <color theme="1"/>
        <rFont val="Arial"/>
        <family val="2"/>
      </rPr>
      <t>-ækv) blive trukket fra det samlede resultat. Det kan gøres ved at vælge ”Ja” i dropdownmenueen i sektion F.</t>
    </r>
  </si>
  <si>
    <t>Når man vælger ”Ja”, bliver den mængde materiale (i tons) sparet på virksomhedens matrikel heller ikke medregnet.</t>
  </si>
  <si>
    <t>Kreditering for undgået materiale- eller elproduktion</t>
  </si>
  <si>
    <r>
      <t>Når brandbart affald, fx plastic forbrændes, opstår der CO</t>
    </r>
    <r>
      <rPr>
        <vertAlign val="subscript"/>
        <sz val="11.5"/>
        <color theme="1"/>
        <rFont val="Arial"/>
        <family val="2"/>
      </rPr>
      <t>2</t>
    </r>
    <r>
      <rPr>
        <sz val="11.5"/>
        <color theme="1"/>
        <rFont val="Arial"/>
        <family val="2"/>
      </rPr>
      <t>. Når materialet bliver brændt i en installation som producerer el, undgår man forbrug af andre brændsler, og det medfølgende CO</t>
    </r>
    <r>
      <rPr>
        <vertAlign val="subscript"/>
        <sz val="11.5"/>
        <color theme="1"/>
        <rFont val="Arial"/>
        <family val="2"/>
      </rPr>
      <t>2</t>
    </r>
    <r>
      <rPr>
        <sz val="11.5"/>
        <color theme="1"/>
        <rFont val="Arial"/>
        <family val="2"/>
      </rPr>
      <t>-udslip. På den samme måde bliver udvinding af jomfruelige materialer undgået, når et materiale bliver genanvendt eller genbrugt.</t>
    </r>
  </si>
  <si>
    <r>
      <t xml:space="preserve">I BB-KEM bliver klima- og ressourceeffekter af undgået materiale- eller elforbrug regnet ud, og det indgår i den sparede mængde energi og materialer. I en virksomheds </t>
    </r>
    <r>
      <rPr>
        <i/>
        <sz val="11.5"/>
        <color theme="1"/>
        <rFont val="Arial"/>
        <family val="2"/>
      </rPr>
      <t xml:space="preserve">carbon footprint </t>
    </r>
    <r>
      <rPr>
        <sz val="11.5"/>
        <color theme="1"/>
        <rFont val="Arial"/>
        <family val="2"/>
      </rPr>
      <t>falder denne slags undgåede effekter dog udenfor scope 1, 2 eller 3. Hvis du heller ikke vil regne besparelser med, kan du slå dem fra i BB-KEM ved at ændre ”Kreditering for undgået materiale-/elproduktion” fra ”Ja” til ”Nej”.</t>
    </r>
  </si>
  <si>
    <t>Inkludering af energi for at producere materialer</t>
  </si>
  <si>
    <t>Bearbejdning af udvundne råvarer (fx fremstilling af stålruller eller profiler fra stål) kræver energi, som er skønnet til at være 30% af den energi det kræver at udvinde og producere et materiale. Denne energi er ikke regnet med i Klimakompasset. Denne energi kan inkluderes i BB-KEM ved at vælge ”Ja” ved ” Energiforbrug for produktion af materialer”, men det betyder at resultaterne ikke længere er de samme som dem som beregnet i Klimakompasset. Desuden er procent-tallet et skøn, som kan variere meget afhængigt af materialet.</t>
  </si>
  <si>
    <t>Tilføj nye materialer</t>
  </si>
  <si>
    <t>Hvis det materiale en virksomhed har sparet er ikke inkluderet i værktøjet, kan du tilføje data for materialet.</t>
  </si>
  <si>
    <t>I fanebladet kaldt ”Egne Materialer” er det muligt at indføre maksimalt 3 nye materialer. Her skal du angive de følgende parametre:</t>
  </si>
  <si>
    <r>
      <t>·</t>
    </r>
    <r>
      <rPr>
        <sz val="7"/>
        <color theme="1"/>
        <rFont val="Times New Roman"/>
        <family val="1"/>
      </rPr>
      <t xml:space="preserve">        </t>
    </r>
    <r>
      <rPr>
        <sz val="11.5"/>
        <color theme="1"/>
        <rFont val="Arial"/>
        <family val="2"/>
      </rPr>
      <t>Materialet navn</t>
    </r>
  </si>
  <si>
    <r>
      <t>·</t>
    </r>
    <r>
      <rPr>
        <sz val="7"/>
        <color theme="1"/>
        <rFont val="Times New Roman"/>
        <family val="1"/>
      </rPr>
      <t xml:space="preserve">        </t>
    </r>
    <r>
      <rPr>
        <sz val="11.5"/>
        <color theme="1"/>
        <rFont val="Arial"/>
        <family val="2"/>
      </rPr>
      <t>Drivhusgasudslip ved fremstilling af materialet (i tons CO</t>
    </r>
    <r>
      <rPr>
        <vertAlign val="subscript"/>
        <sz val="11.5"/>
        <color theme="1"/>
        <rFont val="Arial"/>
        <family val="2"/>
      </rPr>
      <t>2</t>
    </r>
    <r>
      <rPr>
        <sz val="11.5"/>
        <color theme="1"/>
        <rFont val="Arial"/>
        <family val="2"/>
      </rPr>
      <t>-ækv. pr. ton materiale)</t>
    </r>
  </si>
  <si>
    <r>
      <t>·</t>
    </r>
    <r>
      <rPr>
        <sz val="7"/>
        <color theme="1"/>
        <rFont val="Times New Roman"/>
        <family val="1"/>
      </rPr>
      <t xml:space="preserve">        </t>
    </r>
    <r>
      <rPr>
        <sz val="11.5"/>
        <color theme="1"/>
        <rFont val="Arial"/>
        <family val="2"/>
      </rPr>
      <t>Drivhusgasudslip ved deponi af materialet (i tons CO</t>
    </r>
    <r>
      <rPr>
        <vertAlign val="subscript"/>
        <sz val="11.5"/>
        <color theme="1"/>
        <rFont val="Arial"/>
        <family val="2"/>
      </rPr>
      <t>2</t>
    </r>
    <r>
      <rPr>
        <sz val="11.5"/>
        <color theme="1"/>
        <rFont val="Arial"/>
        <family val="2"/>
      </rPr>
      <t>-ækv. pr. ton materiale)</t>
    </r>
  </si>
  <si>
    <r>
      <t>·</t>
    </r>
    <r>
      <rPr>
        <sz val="7"/>
        <color theme="1"/>
        <rFont val="Times New Roman"/>
        <family val="1"/>
      </rPr>
      <t xml:space="preserve">        </t>
    </r>
    <r>
      <rPr>
        <sz val="11.5"/>
        <color theme="1"/>
        <rFont val="Arial"/>
        <family val="2"/>
      </rPr>
      <t>Drivhusgasudslip ved forbrænding af materialet (i tons CO</t>
    </r>
    <r>
      <rPr>
        <vertAlign val="subscript"/>
        <sz val="11.5"/>
        <color theme="1"/>
        <rFont val="Arial"/>
        <family val="2"/>
      </rPr>
      <t>2</t>
    </r>
    <r>
      <rPr>
        <sz val="11.5"/>
        <color theme="1"/>
        <rFont val="Arial"/>
        <family val="2"/>
      </rPr>
      <t>-ækv. pr. ton materiale)</t>
    </r>
  </si>
  <si>
    <r>
      <t>·</t>
    </r>
    <r>
      <rPr>
        <sz val="7"/>
        <color theme="1"/>
        <rFont val="Times New Roman"/>
        <family val="1"/>
      </rPr>
      <t xml:space="preserve">        </t>
    </r>
    <r>
      <rPr>
        <sz val="11.5"/>
        <color theme="1"/>
        <rFont val="Arial"/>
        <family val="2"/>
      </rPr>
      <t>Drivhusgasudslip ved genanvendelse af materialet (i tons CO</t>
    </r>
    <r>
      <rPr>
        <vertAlign val="subscript"/>
        <sz val="11.5"/>
        <color theme="1"/>
        <rFont val="Arial"/>
        <family val="2"/>
      </rPr>
      <t>2</t>
    </r>
    <r>
      <rPr>
        <sz val="11.5"/>
        <color theme="1"/>
        <rFont val="Arial"/>
        <family val="2"/>
      </rPr>
      <t>-ækv. pr. ton materiale)</t>
    </r>
  </si>
  <si>
    <r>
      <t>·</t>
    </r>
    <r>
      <rPr>
        <sz val="7"/>
        <color theme="1"/>
        <rFont val="Times New Roman"/>
        <family val="1"/>
      </rPr>
      <t xml:space="preserve">        </t>
    </r>
    <r>
      <rPr>
        <sz val="11.5"/>
        <color theme="1"/>
        <rFont val="Arial"/>
        <family val="2"/>
      </rPr>
      <t>Drivhusgasudslip ved genbrug af materialet (i tons CO</t>
    </r>
    <r>
      <rPr>
        <vertAlign val="subscript"/>
        <sz val="11.5"/>
        <color theme="1"/>
        <rFont val="Arial"/>
        <family val="2"/>
      </rPr>
      <t>2</t>
    </r>
    <r>
      <rPr>
        <sz val="11.5"/>
        <color theme="1"/>
        <rFont val="Arial"/>
        <family val="2"/>
      </rPr>
      <t>-ækv. pr. ton materiale). Kan antages til at være 0.</t>
    </r>
  </si>
  <si>
    <r>
      <t>·</t>
    </r>
    <r>
      <rPr>
        <sz val="7"/>
        <color theme="1"/>
        <rFont val="Times New Roman"/>
        <family val="1"/>
      </rPr>
      <t xml:space="preserve">        </t>
    </r>
    <r>
      <rPr>
        <sz val="11.5"/>
        <color theme="1"/>
        <rFont val="Arial"/>
        <family val="2"/>
      </rPr>
      <t>Ressourceforbrug ved fremstilling af materialet (i tons Fe-ækv. pr. ton materiale)</t>
    </r>
  </si>
  <si>
    <r>
      <t>·</t>
    </r>
    <r>
      <rPr>
        <sz val="7"/>
        <color theme="1"/>
        <rFont val="Times New Roman"/>
        <family val="1"/>
      </rPr>
      <t xml:space="preserve">        </t>
    </r>
    <r>
      <rPr>
        <sz val="11.5"/>
        <color theme="1"/>
        <rFont val="Arial"/>
        <family val="2"/>
      </rPr>
      <t>Ressourceforbrug ved deponi af materialet (i tons Fe-ækv. pr. ton materiale). Kan antages til at være 0.</t>
    </r>
  </si>
  <si>
    <r>
      <t>·</t>
    </r>
    <r>
      <rPr>
        <sz val="7"/>
        <color theme="1"/>
        <rFont val="Times New Roman"/>
        <family val="1"/>
      </rPr>
      <t xml:space="preserve">        </t>
    </r>
    <r>
      <rPr>
        <sz val="11.5"/>
        <color theme="1"/>
        <rFont val="Arial"/>
        <family val="2"/>
      </rPr>
      <t>Ressourceforbrug ved forbrænding af materialet (i tons Fe-ækv. pr. ton materiale). Kan antages til at være 0.</t>
    </r>
  </si>
  <si>
    <r>
      <t>·</t>
    </r>
    <r>
      <rPr>
        <sz val="7"/>
        <color theme="1"/>
        <rFont val="Times New Roman"/>
        <family val="1"/>
      </rPr>
      <t xml:space="preserve">        </t>
    </r>
    <r>
      <rPr>
        <sz val="11.5"/>
        <color theme="1"/>
        <rFont val="Arial"/>
        <family val="2"/>
      </rPr>
      <t>Ressourceforbrug ved genanvendelse af materialet (i tons Fe-ækv. pr. ton materiale)</t>
    </r>
  </si>
  <si>
    <r>
      <t>·</t>
    </r>
    <r>
      <rPr>
        <sz val="7"/>
        <color theme="1"/>
        <rFont val="Times New Roman"/>
        <family val="1"/>
      </rPr>
      <t xml:space="preserve">        </t>
    </r>
    <r>
      <rPr>
        <sz val="11.5"/>
        <color theme="1"/>
        <rFont val="Arial"/>
        <family val="2"/>
      </rPr>
      <t>Ressourceforbrug ved genbrug af materialet (i tons Fe-ækv. pr. ton materiale). Kan antages til at være 0.</t>
    </r>
  </si>
  <si>
    <r>
      <t>·</t>
    </r>
    <r>
      <rPr>
        <sz val="7"/>
        <color theme="1"/>
        <rFont val="Times New Roman"/>
        <family val="1"/>
      </rPr>
      <t xml:space="preserve">        </t>
    </r>
    <r>
      <rPr>
        <sz val="11.5"/>
        <color theme="1"/>
        <rFont val="Arial"/>
        <family val="2"/>
      </rPr>
      <t>Undgået drivhusgasudslip ved forbrænding af materialet (i tons CO</t>
    </r>
    <r>
      <rPr>
        <vertAlign val="subscript"/>
        <sz val="11.5"/>
        <color theme="1"/>
        <rFont val="Arial"/>
        <family val="2"/>
      </rPr>
      <t>2</t>
    </r>
    <r>
      <rPr>
        <sz val="11.5"/>
        <color theme="1"/>
        <rFont val="Arial"/>
        <family val="2"/>
      </rPr>
      <t>-ækv. pr. ton materiale). Her kan du antage, at el bliver erstattet ved forbrænding.</t>
    </r>
  </si>
  <si>
    <r>
      <t>·</t>
    </r>
    <r>
      <rPr>
        <sz val="7"/>
        <color theme="1"/>
        <rFont val="Times New Roman"/>
        <family val="1"/>
      </rPr>
      <t xml:space="preserve">        </t>
    </r>
    <r>
      <rPr>
        <sz val="11.5"/>
        <color theme="1"/>
        <rFont val="Arial"/>
        <family val="2"/>
      </rPr>
      <t>Undgået drivhusgasudslip ved genanvendelse af materialet (i tons CO</t>
    </r>
    <r>
      <rPr>
        <vertAlign val="subscript"/>
        <sz val="11.5"/>
        <color theme="1"/>
        <rFont val="Arial"/>
        <family val="2"/>
      </rPr>
      <t>2</t>
    </r>
    <r>
      <rPr>
        <sz val="11.5"/>
        <color theme="1"/>
        <rFont val="Arial"/>
        <family val="2"/>
      </rPr>
      <t>-ækv. pr. ton materiale)</t>
    </r>
  </si>
  <si>
    <r>
      <t>·</t>
    </r>
    <r>
      <rPr>
        <sz val="7"/>
        <color theme="1"/>
        <rFont val="Times New Roman"/>
        <family val="1"/>
      </rPr>
      <t xml:space="preserve">        </t>
    </r>
    <r>
      <rPr>
        <sz val="11.5"/>
        <color theme="1"/>
        <rFont val="Arial"/>
        <family val="2"/>
      </rPr>
      <t>Undgået drivhusgasudslip ved genbrug af materialet (i tons CO</t>
    </r>
    <r>
      <rPr>
        <vertAlign val="subscript"/>
        <sz val="11.5"/>
        <color theme="1"/>
        <rFont val="Arial"/>
        <family val="2"/>
      </rPr>
      <t>2</t>
    </r>
    <r>
      <rPr>
        <sz val="11.5"/>
        <color theme="1"/>
        <rFont val="Arial"/>
        <family val="2"/>
      </rPr>
      <t>-ækv. pr. ton materiale). Her kan du antage den samme værdi som ved fremstilling af materialet, medmindre du har mere specifikt data.</t>
    </r>
  </si>
  <si>
    <r>
      <t>·</t>
    </r>
    <r>
      <rPr>
        <sz val="7"/>
        <color theme="1"/>
        <rFont val="Times New Roman"/>
        <family val="1"/>
      </rPr>
      <t xml:space="preserve">        </t>
    </r>
    <r>
      <rPr>
        <sz val="11.5"/>
        <color theme="1"/>
        <rFont val="Arial"/>
        <family val="2"/>
      </rPr>
      <t>Undgået ressourceforbrug ved forbrænding af materialet (i tons Fe-ækv. pr. ton materiale). Her kan du antage, at el bliver erstattet ved forbrænding.</t>
    </r>
  </si>
  <si>
    <r>
      <t>·</t>
    </r>
    <r>
      <rPr>
        <sz val="7"/>
        <color theme="1"/>
        <rFont val="Times New Roman"/>
        <family val="1"/>
      </rPr>
      <t xml:space="preserve">        </t>
    </r>
    <r>
      <rPr>
        <sz val="11.5"/>
        <color theme="1"/>
        <rFont val="Arial"/>
        <family val="2"/>
      </rPr>
      <t>Undgået ressourceforbrug ved genanvendelse af materialet (i tons Fe-ækv. pr. ton materiale). Her kan du antage den samme værdi som ved fremstilling af materialet.</t>
    </r>
  </si>
  <si>
    <r>
      <t>·</t>
    </r>
    <r>
      <rPr>
        <sz val="7"/>
        <color theme="1"/>
        <rFont val="Times New Roman"/>
        <family val="1"/>
      </rPr>
      <t xml:space="preserve">        </t>
    </r>
    <r>
      <rPr>
        <sz val="11.5"/>
        <color theme="1"/>
        <rFont val="Arial"/>
        <family val="2"/>
      </rPr>
      <t>Undgået ressourceforbrug ved genbrug af materialet (i tons CO</t>
    </r>
    <r>
      <rPr>
        <vertAlign val="subscript"/>
        <sz val="11.5"/>
        <color theme="1"/>
        <rFont val="Arial"/>
        <family val="2"/>
      </rPr>
      <t>2</t>
    </r>
    <r>
      <rPr>
        <sz val="11.5"/>
        <color theme="1"/>
        <rFont val="Arial"/>
        <family val="2"/>
      </rPr>
      <t>-ækv. pr. ton materiale). Her kan du antage den samme værdi som ved fremstilling af materialet.</t>
    </r>
  </si>
  <si>
    <t>BÆREDYGTIG BUNDLINJE - EFFEKTMÅLING</t>
  </si>
  <si>
    <t xml:space="preserve">A. Information om virksomheden og produkt. </t>
  </si>
  <si>
    <t>Information om virksomhed og produkt som er omfattet af den grønne forretningsmodel udviklet i Bæredygtig Bundlinje.</t>
  </si>
  <si>
    <t>Virksomhedens navn</t>
  </si>
  <si>
    <t>Indberettet år</t>
  </si>
  <si>
    <t>Antal medarbejdere</t>
  </si>
  <si>
    <t>Antal</t>
  </si>
  <si>
    <t>Omsætning (årlig)</t>
  </si>
  <si>
    <t>Kr</t>
  </si>
  <si>
    <t>Produkt</t>
  </si>
  <si>
    <t>Hvor bliver produktet brugt?</t>
  </si>
  <si>
    <t>Land</t>
  </si>
  <si>
    <t>% af salg</t>
  </si>
  <si>
    <t>Danmark</t>
  </si>
  <si>
    <t>(blank)</t>
  </si>
  <si>
    <r>
      <rPr>
        <b/>
        <sz val="9"/>
        <color theme="1"/>
        <rFont val="Calibri"/>
        <family val="2"/>
        <scheme val="minor"/>
      </rPr>
      <t>Baseline</t>
    </r>
    <r>
      <rPr>
        <sz val="9"/>
        <color theme="1"/>
        <rFont val="Calibri"/>
        <family val="2"/>
        <scheme val="minor"/>
      </rPr>
      <t xml:space="preserve"> = Angiv årligt forbrug (ved projektstart) </t>
    </r>
  </si>
  <si>
    <r>
      <rPr>
        <b/>
        <sz val="9"/>
        <color theme="1"/>
        <rFont val="Calibri"/>
        <family val="2"/>
        <scheme val="minor"/>
      </rPr>
      <t>Fremtidigt forbrug (FF)</t>
    </r>
    <r>
      <rPr>
        <sz val="9"/>
        <color theme="1"/>
        <rFont val="Calibri"/>
        <family val="2"/>
        <scheme val="minor"/>
      </rPr>
      <t>= Angiv de forventede beregnede miljømæssige effekter forudsat implementering af en ny grøn forretningsmodel</t>
    </r>
  </si>
  <si>
    <r>
      <rPr>
        <b/>
        <sz val="9"/>
        <color theme="1"/>
        <rFont val="Calibri"/>
        <family val="2"/>
        <scheme val="minor"/>
      </rPr>
      <t>Besparelse</t>
    </r>
    <r>
      <rPr>
        <sz val="9"/>
        <color theme="1"/>
        <rFont val="Calibri"/>
        <family val="2"/>
        <scheme val="minor"/>
      </rPr>
      <t xml:space="preserve"> = baseline fratrukket effekt </t>
    </r>
  </si>
  <si>
    <r>
      <rPr>
        <b/>
        <sz val="9"/>
        <color theme="1"/>
        <rFont val="Calibri"/>
        <family val="2"/>
        <scheme val="minor"/>
      </rPr>
      <t>Besparelse</t>
    </r>
    <r>
      <rPr>
        <sz val="9"/>
        <color theme="1"/>
        <rFont val="Calibri"/>
        <family val="2"/>
        <scheme val="minor"/>
      </rPr>
      <t>, t CO2-ævk</t>
    </r>
  </si>
  <si>
    <r>
      <rPr>
        <b/>
        <sz val="9"/>
        <color theme="1"/>
        <rFont val="Calibri"/>
        <family val="2"/>
        <scheme val="minor"/>
      </rPr>
      <t>Besparelse</t>
    </r>
    <r>
      <rPr>
        <sz val="9"/>
        <color theme="1"/>
        <rFont val="Calibri"/>
        <family val="2"/>
        <scheme val="minor"/>
      </rPr>
      <t>, t Fe-ækv</t>
    </r>
  </si>
  <si>
    <t>Besparelse, GJ</t>
  </si>
  <si>
    <t>Årlig produktion (styk)</t>
  </si>
  <si>
    <t>Disse er skjult da de umiddelbart forstyrrer brugeren mere end højst nødvendigt. Efter aftale med SIOL og CRE.</t>
  </si>
  <si>
    <t>Forventet levetid (år)</t>
  </si>
  <si>
    <t xml:space="preserve">B. Materiale- og Energibesparelser i virksomheden </t>
  </si>
  <si>
    <t xml:space="preserve">B.1. Besparelser i indkøbte materialer. </t>
  </si>
  <si>
    <t xml:space="preserve">Mængden af materialer som er indkøbt af virksomheden, skal indberettes opgjort i tons pr. år i denne rubrik. </t>
  </si>
  <si>
    <t>Materiale pr. år</t>
  </si>
  <si>
    <t>Baseline [ton]</t>
  </si>
  <si>
    <t>FF
[ton]</t>
  </si>
  <si>
    <t>Besparelse
[ton]</t>
  </si>
  <si>
    <t>Besparelse
[t CO2-ævk]</t>
  </si>
  <si>
    <t>Besparelse
[t Fe-ækv]</t>
  </si>
  <si>
    <t>Total</t>
  </si>
  <si>
    <t>ton</t>
  </si>
  <si>
    <t>ton CO2-ækv</t>
  </si>
  <si>
    <t>ton Fe-ækv</t>
  </si>
  <si>
    <t>B.2. Besparelser i indkøbt el, fjernvarme, og brændsler.</t>
  </si>
  <si>
    <r>
      <t xml:space="preserve">Mængderne af indkøbte energikilder indberettes her.
</t>
    </r>
    <r>
      <rPr>
        <sz val="9"/>
        <color theme="1"/>
        <rFont val="Verdana"/>
        <family val="2"/>
      </rPr>
      <t>For biobrændstof tastes også indholdet i biobrændstof-indholdet ind - bemærk, kun for biobrændsler! Fx for 5% biobrændstof tastes "5".  
For el-biler, benyt "El (kWh)".</t>
    </r>
  </si>
  <si>
    <t>Energi pr. år</t>
  </si>
  <si>
    <t>Baseline</t>
  </si>
  <si>
    <t>Besparelset 
[CO2-ævk]</t>
  </si>
  <si>
    <t>Besparelse
[GJ]</t>
  </si>
  <si>
    <t>B.3. Besparelse i procesrelaterede udledninger (som ikke vedrører energiproduktion).</t>
  </si>
  <si>
    <t>Her tastes de proces relaterede udledninger. Skal indberettes opgjort i ton pr år.</t>
  </si>
  <si>
    <t>Procesrelaterede udledninger</t>
  </si>
  <si>
    <t>Baseline
[ton]</t>
  </si>
  <si>
    <t>[ton]</t>
  </si>
  <si>
    <t>[ton CO2-ævk]</t>
  </si>
  <si>
    <t>C. Materiale- og Energibesparelser i produktets brugsfase</t>
  </si>
  <si>
    <t>Hvordan skal besparelser beregnes?</t>
  </si>
  <si>
    <t>Denne skjules efter aftale med SIOL og CRE.</t>
  </si>
  <si>
    <t>over produktets levetid</t>
  </si>
  <si>
    <t>Vær opmærksom på ikke at dobbelt-taste besparelser som allerede er tastet i B1.</t>
  </si>
  <si>
    <t>Indberettes opgjort i ton pr. år.</t>
  </si>
  <si>
    <t>[t CO2-ævk]</t>
  </si>
  <si>
    <t>[ton Fe-ækv]</t>
  </si>
  <si>
    <t>C.2. Energibesparelse i brugsfasen.</t>
  </si>
  <si>
    <t xml:space="preserve">For biobrændstof tastes også indholdet i biobrændstof-indholdet ind - bemærk, kun for biobrændsler! Fx for 5% biobrændstof tastes "5". </t>
  </si>
  <si>
    <t>[ton CO2-ækv]</t>
  </si>
  <si>
    <t>Materiale</t>
  </si>
  <si>
    <t>Ændring i bortskaffelse</t>
  </si>
  <si>
    <t>Ændring i mængde
[ton]</t>
  </si>
  <si>
    <t>E. Samtlige besparelser</t>
  </si>
  <si>
    <t>Materialebesparelser i tons</t>
  </si>
  <si>
    <t xml:space="preserve">Her ses de indtastede data for materialer og energikilder opsummeret. Process relaterede udledninger kan ses i indtastede tabel. </t>
  </si>
  <si>
    <t>Kreditering for undgået materiale-/elproduktion</t>
  </si>
  <si>
    <t>Ja</t>
  </si>
  <si>
    <t>Nej</t>
  </si>
  <si>
    <t>Egne Materialer</t>
  </si>
  <si>
    <t>Her kan du introducere op til 3 nye materialer.</t>
  </si>
  <si>
    <t>Alle data skal angives pr. ton materiale. Ungået drivhusgasudslip eller ressourceforbrug angives med positive tal: 1 t CO2-ækv undgaet angives som +1.</t>
  </si>
  <si>
    <t>For fremstilling og deponi er der ikke noget undgået drivhusgasudslip eller undgået ressourceforbrug.</t>
  </si>
  <si>
    <t xml:space="preserve">Ved eventuelle spørgsmål, kontakt da Stig Irving Olsen, DTU. </t>
  </si>
  <si>
    <t>Materialets navn</t>
  </si>
  <si>
    <t>Drivhusgasudslip ved…</t>
  </si>
  <si>
    <t>Ressourceforbrug ved…</t>
  </si>
  <si>
    <t>Fremstilling</t>
  </si>
  <si>
    <t>Deponi</t>
  </si>
  <si>
    <t>Forbrænding</t>
  </si>
  <si>
    <t>Genanvendelse</t>
  </si>
  <si>
    <t>Genbrug</t>
  </si>
  <si>
    <t>t CO2-ækv/t</t>
  </si>
  <si>
    <t>t Fe-ækv/t</t>
  </si>
  <si>
    <t>Undgået drivhusgasudslip ved…</t>
  </si>
  <si>
    <t>Undgået ressourceforbrug ved…</t>
  </si>
  <si>
    <t>for undgået elproduktion</t>
  </si>
  <si>
    <t>for undgået råstofudvinding</t>
  </si>
  <si>
    <t>Deponi til Forbrænding</t>
  </si>
  <si>
    <t>Deponi til Genanvendelse</t>
  </si>
  <si>
    <t>Deponi til Genbrug</t>
  </si>
  <si>
    <t>Forbrænding til Genanvendelse</t>
  </si>
  <si>
    <t>Forbrænding til Genbrug</t>
  </si>
  <si>
    <t>Genanvendelse til Genbrug</t>
  </si>
  <si>
    <t>C.1. Materialebesparelse</t>
  </si>
  <si>
    <t>D.1. Materialebesparelse</t>
  </si>
  <si>
    <t>C.3. Ændringer i bortskaffelse af materialer fra virksomhedens matrikel</t>
  </si>
  <si>
    <t>E.1. Ændringer i bortskaffelse af materialer fra virksomhedens matrikel</t>
  </si>
  <si>
    <t>E.1. Ændringer i bortskaffelse af materialer</t>
  </si>
  <si>
    <t>Rank</t>
  </si>
  <si>
    <t>Ton sparet</t>
  </si>
  <si>
    <t>Antallet af de mindste</t>
  </si>
  <si>
    <t>Mindste</t>
  </si>
  <si>
    <t>Rækkefølge</t>
  </si>
  <si>
    <t>Tabsfaktor i %</t>
  </si>
  <si>
    <t>t</t>
  </si>
  <si>
    <r>
      <t>t CO</t>
    </r>
    <r>
      <rPr>
        <vertAlign val="subscript"/>
        <sz val="8"/>
        <color theme="1"/>
        <rFont val="Verdana"/>
        <family val="2"/>
      </rPr>
      <t>2</t>
    </r>
    <r>
      <rPr>
        <sz val="8"/>
        <color theme="1"/>
        <rFont val="Verdana"/>
        <family val="2"/>
      </rPr>
      <t>-ækv</t>
    </r>
  </si>
  <si>
    <t>t Fe-ækv</t>
  </si>
  <si>
    <t>t CO2-ækv</t>
  </si>
  <si>
    <t>t sparet</t>
  </si>
  <si>
    <t>t CO2-ækv sparet</t>
  </si>
  <si>
    <t>rank</t>
  </si>
  <si>
    <t>t Fe-ækv sparet</t>
  </si>
  <si>
    <t>(tom)</t>
  </si>
  <si>
    <t>-</t>
  </si>
  <si>
    <t>C3</t>
  </si>
  <si>
    <t>E1</t>
  </si>
  <si>
    <t>-METALLER-</t>
  </si>
  <si>
    <t>Aluminium</t>
  </si>
  <si>
    <t>Bly</t>
  </si>
  <si>
    <t>Kobber</t>
  </si>
  <si>
    <t>Nikkel</t>
  </si>
  <si>
    <t>Stål og Jern</t>
  </si>
  <si>
    <t>Stål, rustfrit</t>
  </si>
  <si>
    <t>Tin</t>
  </si>
  <si>
    <t>Zink</t>
  </si>
  <si>
    <t>-PAPIR og PAP-</t>
  </si>
  <si>
    <t>Aviser</t>
  </si>
  <si>
    <t>Blandet papir</t>
  </si>
  <si>
    <t>Kopipapir</t>
  </si>
  <si>
    <t>Pap og Bølgepap</t>
  </si>
  <si>
    <t>-PLAST-</t>
  </si>
  <si>
    <t>ABS</t>
  </si>
  <si>
    <t>PA-6</t>
  </si>
  <si>
    <t>PC</t>
  </si>
  <si>
    <t>PE, LD</t>
  </si>
  <si>
    <t>PL, HD</t>
  </si>
  <si>
    <t>PET</t>
  </si>
  <si>
    <t>PP</t>
  </si>
  <si>
    <t>PS</t>
  </si>
  <si>
    <t>PVC, blød</t>
  </si>
  <si>
    <t>PVC, hård</t>
  </si>
  <si>
    <t>-ANDET MATERIALE-</t>
  </si>
  <si>
    <t>Cement</t>
  </si>
  <si>
    <t>Mursten</t>
  </si>
  <si>
    <t>Sand1</t>
  </si>
  <si>
    <t>Glas, vindues-</t>
  </si>
  <si>
    <t>Glas, emballage-</t>
  </si>
  <si>
    <t>Træ</t>
  </si>
  <si>
    <t>Betonelementer</t>
  </si>
  <si>
    <t>Glasuld</t>
  </si>
  <si>
    <t>Stenuld</t>
  </si>
  <si>
    <t>-MADVARER-</t>
  </si>
  <si>
    <t>Brød</t>
  </si>
  <si>
    <t>Frugt og Grønt</t>
  </si>
  <si>
    <t>Kartofler</t>
  </si>
  <si>
    <t>Korn</t>
  </si>
  <si>
    <t>Kød, andet</t>
  </si>
  <si>
    <t>Kød, okse-</t>
  </si>
  <si>
    <t>Ost</t>
  </si>
  <si>
    <t>Ris</t>
  </si>
  <si>
    <t>Drikkevand</t>
  </si>
  <si>
    <t>Drikkevarer</t>
  </si>
  <si>
    <t>-EGNE MATERIALER-</t>
  </si>
  <si>
    <t xml:space="preserve">Total </t>
  </si>
  <si>
    <t>SUM</t>
  </si>
  <si>
    <t>Kreditering for undgået elproduktion eller materialefremstilling</t>
  </si>
  <si>
    <t>kreditering for:</t>
  </si>
  <si>
    <t>ingen kreditering</t>
  </si>
  <si>
    <t>undgået elproduktion</t>
  </si>
  <si>
    <t>undgået råstofudvinding</t>
  </si>
  <si>
    <t>Konverteringsfaktor for produktets levetid og årlige salgstal</t>
  </si>
  <si>
    <t>Effekter</t>
  </si>
  <si>
    <t>Indberetning</t>
  </si>
  <si>
    <t>Kopi af inputs</t>
  </si>
  <si>
    <t>Index affald</t>
  </si>
  <si>
    <t>Index materiale</t>
  </si>
  <si>
    <t>Levetid</t>
  </si>
  <si>
    <t># produkter solgt årligt</t>
  </si>
  <si>
    <t>Faktor</t>
  </si>
  <si>
    <t>Datakilder</t>
  </si>
  <si>
    <t>Klimakompasset</t>
  </si>
  <si>
    <t>Antagelse, baseret på Klimakompasset</t>
  </si>
  <si>
    <t>Kreditering</t>
  </si>
  <si>
    <t>Ecoinvent 3.1 + CML2002 (reserve base)</t>
  </si>
  <si>
    <t>Ecoinvent 3.1 + IPCC Global Warming</t>
  </si>
  <si>
    <t>Estimat, baseret på JRC (2012)</t>
  </si>
  <si>
    <t>Ecoinvent 3.1 + Norgate (2004)</t>
  </si>
  <si>
    <t>Egen beregning, baseret på Ecoinvent 3.1 + Norgate (2004) + Hill et al (2014)</t>
  </si>
  <si>
    <t>Egen beregning</t>
  </si>
  <si>
    <t>Ingen data</t>
  </si>
  <si>
    <t>Effekter+evt. kreditering</t>
  </si>
  <si>
    <t>Kreditering?½</t>
  </si>
  <si>
    <t>Effekter+kreditering</t>
  </si>
  <si>
    <t>Effekter+evt kreditering</t>
  </si>
  <si>
    <t>count</t>
  </si>
  <si>
    <t>forskellige materialer</t>
  </si>
  <si>
    <t>total materiale</t>
  </si>
  <si>
    <t>total tons</t>
  </si>
  <si>
    <t>genanv.-&gt;genbr.</t>
  </si>
  <si>
    <t>forbr.-&gt;genbr.</t>
  </si>
  <si>
    <t>forbr.-&gt;genanv.</t>
  </si>
  <si>
    <t>dep.-&gt;genbr.</t>
  </si>
  <si>
    <t>dep.-&gt;genanv.</t>
  </si>
  <si>
    <t>dep.-&gt;forbr.</t>
  </si>
  <si>
    <t>Fremstilling, distribution, etc</t>
  </si>
  <si>
    <t>Brug (i.e. forbrænding)</t>
  </si>
  <si>
    <t>C.2. Indberettede besparelser</t>
  </si>
  <si>
    <t>Enhed</t>
  </si>
  <si>
    <t xml:space="preserve">Mængde </t>
  </si>
  <si>
    <t>B2: GJ beregning</t>
  </si>
  <si>
    <t>kg CO2/GJ</t>
  </si>
  <si>
    <t>kg CO2 pr enhed</t>
  </si>
  <si>
    <t>GJ pr enhed</t>
  </si>
  <si>
    <t>CO2 Scope 3</t>
  </si>
  <si>
    <t>t, pr energienhed</t>
  </si>
  <si>
    <t>mængde</t>
  </si>
  <si>
    <t>El (kWh)</t>
  </si>
  <si>
    <t>kWh</t>
  </si>
  <si>
    <t>Fjernvarme (kWh)</t>
  </si>
  <si>
    <t xml:space="preserve">tidligere værdi 0,000135487
</t>
  </si>
  <si>
    <t>Brunkulsbriketter (kWh)</t>
  </si>
  <si>
    <t>Brunkulsbriketter (tons)</t>
  </si>
  <si>
    <t>Fuelolie (tons)</t>
  </si>
  <si>
    <t>Fuelolie (kWh)</t>
  </si>
  <si>
    <t>Gas-/dieselolie (tons)</t>
  </si>
  <si>
    <t>Gas-/dieselolie (kWh)</t>
  </si>
  <si>
    <t>Gas-/dieselolie (liter)</t>
  </si>
  <si>
    <t>liter</t>
  </si>
  <si>
    <t>Koks (tons)</t>
  </si>
  <si>
    <t>Koks (kWh)</t>
  </si>
  <si>
    <t>Kul (tons)</t>
  </si>
  <si>
    <t>Kul (kwh)</t>
  </si>
  <si>
    <t>kwh</t>
  </si>
  <si>
    <t>LPG (flaskegas) (kWh)</t>
  </si>
  <si>
    <t>LPG (flaskegas) (liter)</t>
  </si>
  <si>
    <t>LVN (letbenzin) (kWh)</t>
  </si>
  <si>
    <t>Motorbenzin (kWh)</t>
  </si>
  <si>
    <t>Motorbenzin (tons)</t>
  </si>
  <si>
    <t>Motorbenzin (liter)</t>
  </si>
  <si>
    <t>Naturgas (m3)</t>
  </si>
  <si>
    <t>m3</t>
  </si>
  <si>
    <t>Petroleum (kWh)</t>
  </si>
  <si>
    <t>Petroleum (tons)</t>
  </si>
  <si>
    <t>Petroleum (liter)</t>
  </si>
  <si>
    <t>Petroleumskoks (kWh)</t>
  </si>
  <si>
    <t>Petroleumskoks (tons)</t>
  </si>
  <si>
    <t>Raffinaderigas  (m3)</t>
  </si>
  <si>
    <t>Spildolie (kWh)</t>
  </si>
  <si>
    <t>Spildolie (tons)</t>
  </si>
  <si>
    <t>-KØRETØJSBRÆNDSLER-</t>
  </si>
  <si>
    <t>Benzin (% biobr.) (liter)</t>
  </si>
  <si>
    <t>https://ens.dk/sites/ens.dk/files/CO2/standardfaktorer_for_2016.pdf</t>
  </si>
  <si>
    <t>Diesel (% biobr.) (liter)</t>
  </si>
  <si>
    <t>LPG (% biobr.) (liter)</t>
  </si>
  <si>
    <t>sum</t>
  </si>
  <si>
    <t>El</t>
  </si>
  <si>
    <t>%/100 salg</t>
  </si>
  <si>
    <t>CO2-ækv</t>
  </si>
  <si>
    <t>Er hentet fra klimakompasset konstant72-2016. tidligere-værdi: 0,2325171</t>
  </si>
  <si>
    <t>-EUROPA-</t>
  </si>
  <si>
    <t>Belgien</t>
  </si>
  <si>
    <t>Europa (andet)</t>
  </si>
  <si>
    <t>Finland</t>
  </si>
  <si>
    <t>Frankrig</t>
  </si>
  <si>
    <t>Holland</t>
  </si>
  <si>
    <t>Italien</t>
  </si>
  <si>
    <t>Norge</t>
  </si>
  <si>
    <t>Polen</t>
  </si>
  <si>
    <t>Rusland</t>
  </si>
  <si>
    <t>Spanien</t>
  </si>
  <si>
    <t>Storbrittannien</t>
  </si>
  <si>
    <t>Sverige</t>
  </si>
  <si>
    <t>Tyskland</t>
  </si>
  <si>
    <t xml:space="preserve">kwh </t>
  </si>
  <si>
    <t>-ROW-</t>
  </si>
  <si>
    <t>Japan</t>
  </si>
  <si>
    <t>Kina</t>
  </si>
  <si>
    <t>USA</t>
  </si>
  <si>
    <t>vejet CO2-ækv/kWh brugt</t>
  </si>
  <si>
    <t>Ecoinvent 3.1</t>
  </si>
  <si>
    <t>Ecoinvent 3.1 + eget skøn</t>
  </si>
  <si>
    <t>Antagelse</t>
  </si>
  <si>
    <t>Lander</t>
  </si>
  <si>
    <t>Beregning</t>
  </si>
  <si>
    <t>Energi</t>
  </si>
  <si>
    <t>År</t>
  </si>
  <si>
    <t>Medregn</t>
  </si>
  <si>
    <t>pr. år</t>
  </si>
  <si>
    <t>Før genanvendt, nu genbrugt</t>
  </si>
  <si>
    <t>Før forbrændt, nu genbrugt</t>
  </si>
  <si>
    <t>Før forbrændt, nu genanvendt</t>
  </si>
  <si>
    <t>Før deponeret, nu genbrugt</t>
  </si>
  <si>
    <t>Før deponeret, nu genandvendt</t>
  </si>
  <si>
    <t>andet år</t>
  </si>
  <si>
    <t>Før deponeret, nu forbrændt</t>
  </si>
  <si>
    <r>
      <t>Naturgas (m</t>
    </r>
    <r>
      <rPr>
        <vertAlign val="superscript"/>
        <sz val="8"/>
        <color theme="1"/>
        <rFont val="Verdana"/>
        <family val="2"/>
      </rPr>
      <t>3</t>
    </r>
    <r>
      <rPr>
        <sz val="8"/>
        <color theme="1"/>
        <rFont val="Verdana"/>
        <family val="2"/>
      </rPr>
      <t>)</t>
    </r>
  </si>
  <si>
    <r>
      <t>Raffinaderigas  (m</t>
    </r>
    <r>
      <rPr>
        <vertAlign val="superscript"/>
        <sz val="8"/>
        <color theme="1"/>
        <rFont val="Verdana"/>
        <family val="2"/>
      </rPr>
      <t>3</t>
    </r>
    <r>
      <rPr>
        <sz val="8"/>
        <color theme="1"/>
        <rFont val="Verdana"/>
        <family val="2"/>
      </rPr>
      <t>)</t>
    </r>
  </si>
  <si>
    <t>Industrial Designation or Common Name (years)  </t>
  </si>
  <si>
    <t>Chemical Formula  </t>
  </si>
  <si>
    <t>100-yr  </t>
  </si>
  <si>
    <t>Carbon dioxide  </t>
  </si>
  <si>
    <r>
      <t>CO</t>
    </r>
    <r>
      <rPr>
        <sz val="9"/>
        <color theme="1"/>
        <rFont val="Verdana"/>
        <family val="2"/>
      </rPr>
      <t>2  </t>
    </r>
  </si>
  <si>
    <t>Kuldioxid (CO2)</t>
  </si>
  <si>
    <r>
      <t>Methane</t>
    </r>
    <r>
      <rPr>
        <vertAlign val="superscript"/>
        <sz val="9"/>
        <color theme="1"/>
        <rFont val="Verdana"/>
        <family val="2"/>
      </rPr>
      <t xml:space="preserve">c </t>
    </r>
    <r>
      <rPr>
        <sz val="9"/>
        <color theme="1"/>
        <rFont val="Verdana"/>
        <family val="2"/>
      </rPr>
      <t> </t>
    </r>
  </si>
  <si>
    <r>
      <t>CH</t>
    </r>
    <r>
      <rPr>
        <sz val="9"/>
        <color theme="1"/>
        <rFont val="Verdana"/>
        <family val="2"/>
      </rPr>
      <t>4  </t>
    </r>
  </si>
  <si>
    <t>Metan (CH4)</t>
  </si>
  <si>
    <t>Nitrous oxide  </t>
  </si>
  <si>
    <r>
      <t>N</t>
    </r>
    <r>
      <rPr>
        <sz val="9"/>
        <color theme="1"/>
        <rFont val="Verdana"/>
        <family val="2"/>
      </rPr>
      <t>2O  </t>
    </r>
  </si>
  <si>
    <t>Lattergas (N2O)</t>
  </si>
  <si>
    <t>Substances controlled by the Montreal Protocol  </t>
  </si>
  <si>
    <t>HCF-23 (CHF3)</t>
  </si>
  <si>
    <t>CFC-11  </t>
  </si>
  <si>
    <r>
      <t>CCl</t>
    </r>
    <r>
      <rPr>
        <sz val="9"/>
        <color theme="1"/>
        <rFont val="Verdana"/>
        <family val="2"/>
      </rPr>
      <t>3F  </t>
    </r>
  </si>
  <si>
    <t>HCF-32 (CH2F2)</t>
  </si>
  <si>
    <t>CFC-12  </t>
  </si>
  <si>
    <r>
      <t>CCl</t>
    </r>
    <r>
      <rPr>
        <sz val="9"/>
        <color theme="1"/>
        <rFont val="Verdana"/>
        <family val="2"/>
      </rPr>
      <t>2F2  </t>
    </r>
  </si>
  <si>
    <t>HCF-41 (CH3F)</t>
  </si>
  <si>
    <t>CFC-13  </t>
  </si>
  <si>
    <r>
      <t>CClF</t>
    </r>
    <r>
      <rPr>
        <sz val="9"/>
        <color theme="1"/>
        <rFont val="Verdana"/>
        <family val="2"/>
      </rPr>
      <t>3  </t>
    </r>
  </si>
  <si>
    <t>HCF-43-10mee (C5H2F10)</t>
  </si>
  <si>
    <t>CFC-113  </t>
  </si>
  <si>
    <r>
      <t>CCl</t>
    </r>
    <r>
      <rPr>
        <sz val="9"/>
        <color theme="1"/>
        <rFont val="Verdana"/>
        <family val="2"/>
      </rPr>
      <t>2FCClF2  </t>
    </r>
  </si>
  <si>
    <t>HCF-125 (C2HF5)</t>
  </si>
  <si>
    <t>CFC-114  </t>
  </si>
  <si>
    <r>
      <t>CClF</t>
    </r>
    <r>
      <rPr>
        <sz val="9"/>
        <color theme="1"/>
        <rFont val="Verdana"/>
        <family val="2"/>
      </rPr>
      <t>2CClF2  </t>
    </r>
  </si>
  <si>
    <t>HCF-134 (C2H2F4)</t>
  </si>
  <si>
    <t>CFC-115  </t>
  </si>
  <si>
    <r>
      <t>CClF</t>
    </r>
    <r>
      <rPr>
        <sz val="9"/>
        <color theme="1"/>
        <rFont val="Verdana"/>
        <family val="2"/>
      </rPr>
      <t>2CF3  </t>
    </r>
  </si>
  <si>
    <t>HCF-134a (C2H2F4)</t>
  </si>
  <si>
    <t>Halon-1301  </t>
  </si>
  <si>
    <r>
      <t>CBrF</t>
    </r>
    <r>
      <rPr>
        <sz val="9"/>
        <color theme="1"/>
        <rFont val="Verdana"/>
        <family val="2"/>
      </rPr>
      <t>3  </t>
    </r>
  </si>
  <si>
    <t>HCF-152a (C2H4F2)</t>
  </si>
  <si>
    <t>Halon-1211  </t>
  </si>
  <si>
    <r>
      <t>CBrClF</t>
    </r>
    <r>
      <rPr>
        <sz val="9"/>
        <color theme="1"/>
        <rFont val="Verdana"/>
        <family val="2"/>
      </rPr>
      <t>2  </t>
    </r>
  </si>
  <si>
    <t>HCF-143 (C2H3F3)</t>
  </si>
  <si>
    <t>Halon-2402  </t>
  </si>
  <si>
    <r>
      <t>CBrF</t>
    </r>
    <r>
      <rPr>
        <sz val="9"/>
        <color theme="1"/>
        <rFont val="Verdana"/>
        <family val="2"/>
      </rPr>
      <t>2CBrF2  </t>
    </r>
  </si>
  <si>
    <t>HCF-143a (C2H3F3)</t>
  </si>
  <si>
    <t>Carbon tetrachloride  </t>
  </si>
  <si>
    <r>
      <t>CCl</t>
    </r>
    <r>
      <rPr>
        <sz val="9"/>
        <color theme="1"/>
        <rFont val="Verdana"/>
        <family val="2"/>
      </rPr>
      <t>4  </t>
    </r>
  </si>
  <si>
    <t>HCF-227ea (C3HF7)</t>
  </si>
  <si>
    <t>Methyl bromide  </t>
  </si>
  <si>
    <r>
      <t>CH</t>
    </r>
    <r>
      <rPr>
        <sz val="9"/>
        <color theme="1"/>
        <rFont val="Verdana"/>
        <family val="2"/>
      </rPr>
      <t>3Br  </t>
    </r>
  </si>
  <si>
    <t>HCF-236fa (C3H2F6)</t>
  </si>
  <si>
    <t>Methyl chloroform  </t>
  </si>
  <si>
    <r>
      <t>CH</t>
    </r>
    <r>
      <rPr>
        <sz val="9"/>
        <color theme="1"/>
        <rFont val="Verdana"/>
        <family val="2"/>
      </rPr>
      <t>3CCl3  </t>
    </r>
  </si>
  <si>
    <t xml:space="preserve">HCF-254ca (C3H3F5)  </t>
  </si>
  <si>
    <t>HCFC-22  </t>
  </si>
  <si>
    <r>
      <t>CHClF</t>
    </r>
    <r>
      <rPr>
        <sz val="9"/>
        <color theme="1"/>
        <rFont val="Verdana"/>
        <family val="2"/>
      </rPr>
      <t>2  </t>
    </r>
  </si>
  <si>
    <t>Perfluorometan (CF4)</t>
  </si>
  <si>
    <t>HCFC-123  </t>
  </si>
  <si>
    <r>
      <t>CHCl</t>
    </r>
    <r>
      <rPr>
        <sz val="9"/>
        <color theme="1"/>
        <rFont val="Verdana"/>
        <family val="2"/>
      </rPr>
      <t>2CF3  </t>
    </r>
  </si>
  <si>
    <t>Perfluoromethan (C2F6)</t>
  </si>
  <si>
    <t>HCFC-124  </t>
  </si>
  <si>
    <r>
      <t>CHClFCF</t>
    </r>
    <r>
      <rPr>
        <sz val="9"/>
        <color theme="1"/>
        <rFont val="Verdana"/>
        <family val="2"/>
      </rPr>
      <t>3  </t>
    </r>
  </si>
  <si>
    <t>Perfluoropropan (C3F8)</t>
  </si>
  <si>
    <t>HCFC-141b  </t>
  </si>
  <si>
    <r>
      <t>CH</t>
    </r>
    <r>
      <rPr>
        <sz val="9"/>
        <color theme="1"/>
        <rFont val="Verdana"/>
        <family val="2"/>
      </rPr>
      <t>3CCl2F  </t>
    </r>
  </si>
  <si>
    <t xml:space="preserve">Perfluorobutan (C4F10)  </t>
  </si>
  <si>
    <t>HCFC-142b  </t>
  </si>
  <si>
    <r>
      <t>CH</t>
    </r>
    <r>
      <rPr>
        <sz val="9"/>
        <color theme="1"/>
        <rFont val="Verdana"/>
        <family val="2"/>
      </rPr>
      <t>3CClF2  </t>
    </r>
  </si>
  <si>
    <t>Perfluorocyclobutan (c-C4F8)</t>
  </si>
  <si>
    <t>HCFC-225ca  </t>
  </si>
  <si>
    <r>
      <t>CHCl</t>
    </r>
    <r>
      <rPr>
        <sz val="9"/>
        <color theme="1"/>
        <rFont val="Verdana"/>
        <family val="2"/>
      </rPr>
      <t>2CF2CF3  </t>
    </r>
  </si>
  <si>
    <t>Perfluoropentan (C5F12)</t>
  </si>
  <si>
    <t>HCFC-225cb  </t>
  </si>
  <si>
    <r>
      <t>CHClFCF</t>
    </r>
    <r>
      <rPr>
        <sz val="9"/>
        <color theme="1"/>
        <rFont val="Verdana"/>
        <family val="2"/>
      </rPr>
      <t>2CClF2  </t>
    </r>
  </si>
  <si>
    <t>Perfluorohexan (C6F14)</t>
  </si>
  <si>
    <t>Hydrofluorocarbons </t>
  </si>
  <si>
    <t>Svovlhexafluorid (SF6)</t>
  </si>
  <si>
    <t>HFC-23  </t>
  </si>
  <si>
    <r>
      <t>CHF</t>
    </r>
    <r>
      <rPr>
        <sz val="9"/>
        <color theme="1"/>
        <rFont val="Verdana"/>
        <family val="2"/>
      </rPr>
      <t>3  </t>
    </r>
  </si>
  <si>
    <t>HFC-32  </t>
  </si>
  <si>
    <r>
      <t>CH</t>
    </r>
    <r>
      <rPr>
        <sz val="9"/>
        <color theme="1"/>
        <rFont val="Verdana"/>
        <family val="2"/>
      </rPr>
      <t>2F2  </t>
    </r>
  </si>
  <si>
    <t>HFC-125  </t>
  </si>
  <si>
    <r>
      <t>CHF</t>
    </r>
    <r>
      <rPr>
        <sz val="9"/>
        <color theme="1"/>
        <rFont val="Verdana"/>
        <family val="2"/>
      </rPr>
      <t>2CF3  </t>
    </r>
  </si>
  <si>
    <t>Kilde:</t>
  </si>
  <si>
    <t>Rapport fra klimakompasset</t>
  </si>
  <si>
    <t>HFC-134a  </t>
  </si>
  <si>
    <r>
      <t>CH</t>
    </r>
    <r>
      <rPr>
        <sz val="9"/>
        <color theme="1"/>
        <rFont val="Verdana"/>
        <family val="2"/>
      </rPr>
      <t>2FCF3  </t>
    </r>
  </si>
  <si>
    <t>Værdierne er givet som konstanter i "konstanter"</t>
  </si>
  <si>
    <t>HFC-143a  </t>
  </si>
  <si>
    <r>
      <t>CH</t>
    </r>
    <r>
      <rPr>
        <sz val="9"/>
        <color theme="1"/>
        <rFont val="Verdana"/>
        <family val="2"/>
      </rPr>
      <t>3CF3  </t>
    </r>
  </si>
  <si>
    <t>HFC-152a  </t>
  </si>
  <si>
    <r>
      <t>CH</t>
    </r>
    <r>
      <rPr>
        <sz val="9"/>
        <color theme="1"/>
        <rFont val="Verdana"/>
        <family val="2"/>
      </rPr>
      <t>3CHF2  </t>
    </r>
  </si>
  <si>
    <t>HFC-227ea  </t>
  </si>
  <si>
    <r>
      <t>CF</t>
    </r>
    <r>
      <rPr>
        <sz val="9"/>
        <color theme="1"/>
        <rFont val="Verdana"/>
        <family val="2"/>
      </rPr>
      <t>3CHFCF3  </t>
    </r>
  </si>
  <si>
    <t>HFC-236fa  </t>
  </si>
  <si>
    <r>
      <t>CF</t>
    </r>
    <r>
      <rPr>
        <sz val="9"/>
        <color theme="1"/>
        <rFont val="Verdana"/>
        <family val="2"/>
      </rPr>
      <t>3CH2CF3  </t>
    </r>
  </si>
  <si>
    <t>HFC-245fa  </t>
  </si>
  <si>
    <r>
      <t>CHF</t>
    </r>
    <r>
      <rPr>
        <sz val="9"/>
        <color theme="1"/>
        <rFont val="Verdana"/>
        <family val="2"/>
      </rPr>
      <t>2CH2CF3  </t>
    </r>
  </si>
  <si>
    <t>HFC-365mfc  </t>
  </si>
  <si>
    <r>
      <t>CH</t>
    </r>
    <r>
      <rPr>
        <sz val="9"/>
        <color theme="1"/>
        <rFont val="Verdana"/>
        <family val="2"/>
      </rPr>
      <t>3CF2CH2CF3  </t>
    </r>
  </si>
  <si>
    <t>HFC-43-10mee  </t>
  </si>
  <si>
    <r>
      <t>CF</t>
    </r>
    <r>
      <rPr>
        <sz val="9"/>
        <color theme="1"/>
        <rFont val="Verdana"/>
        <family val="2"/>
      </rPr>
      <t>3CHFCHFCF2CF3  </t>
    </r>
  </si>
  <si>
    <t>Perfluorinated compounds  </t>
  </si>
  <si>
    <t>Sulphur hexafluoride  </t>
  </si>
  <si>
    <r>
      <t>SF</t>
    </r>
    <r>
      <rPr>
        <sz val="9"/>
        <color theme="1"/>
        <rFont val="Verdana"/>
        <family val="2"/>
      </rPr>
      <t>6  </t>
    </r>
  </si>
  <si>
    <t>Nitrogen trifluoride  </t>
  </si>
  <si>
    <r>
      <t>NF</t>
    </r>
    <r>
      <rPr>
        <sz val="9"/>
        <color theme="1"/>
        <rFont val="Verdana"/>
        <family val="2"/>
      </rPr>
      <t>3  </t>
    </r>
  </si>
  <si>
    <t>PFC-14  </t>
  </si>
  <si>
    <r>
      <t>CF</t>
    </r>
    <r>
      <rPr>
        <sz val="9"/>
        <color theme="1"/>
        <rFont val="Verdana"/>
        <family val="2"/>
      </rPr>
      <t>4  </t>
    </r>
  </si>
  <si>
    <t>PFC-116  </t>
  </si>
  <si>
    <r>
      <t>C</t>
    </r>
    <r>
      <rPr>
        <sz val="9"/>
        <color theme="1"/>
        <rFont val="Verdana"/>
        <family val="2"/>
      </rPr>
      <t>2F6  </t>
    </r>
  </si>
  <si>
    <t>Table 2.14 (continued)</t>
  </si>
  <si>
    <t>Perfluorinated compounds (continued)  </t>
  </si>
  <si>
    <t>PFC-218  </t>
  </si>
  <si>
    <t>PFC-318  </t>
  </si>
  <si>
    <t>PFC-3-1-10  </t>
  </si>
  <si>
    <t>PFC-4-1-12  </t>
  </si>
  <si>
    <t>PFC-5-1-14  </t>
  </si>
  <si>
    <t>PFC-9-1-18  </t>
  </si>
  <si>
    <t>&gt;</t>
  </si>
  <si>
    <t>trifluoromethyl sulphur pentafluoride </t>
  </si>
  <si>
    <t>Fluorinated ethers  </t>
  </si>
  <si>
    <t>HFE-125  </t>
  </si>
  <si>
    <t>HFE-134  </t>
  </si>
  <si>
    <t>HFE-143a  </t>
  </si>
  <si>
    <t>HCFE-235da2  </t>
  </si>
  <si>
    <t>HFE-245cb2  </t>
  </si>
  <si>
    <t>HFE-245fa2  </t>
  </si>
  <si>
    <t>HFE-254cb2  </t>
  </si>
  <si>
    <t>HFE-347mcc3  </t>
  </si>
  <si>
    <t>HFE-347pcf2  </t>
  </si>
  <si>
    <t>HFE-356pcc3  </t>
  </si>
  <si>
    <t>HFE-449sl (HFE-7100)  </t>
  </si>
  <si>
    <t>HFE-569sf2 (HFE-7200)  </t>
  </si>
  <si>
    <t>HFE-43-10pccc124 (H-Galden 1040x)  </t>
  </si>
  <si>
    <t>HFE-236ca12 (HG-10)  </t>
  </si>
  <si>
    <t>HFE-338pcc13 (HG-01)  </t>
  </si>
  <si>
    <t>Perfluoropolyethers  </t>
  </si>
  <si>
    <t>PFPMIE  </t>
  </si>
  <si>
    <t>Hydrocarbons and other compounds – Direct Effects  </t>
  </si>
  <si>
    <t>Dimethylether  </t>
  </si>
  <si>
    <t>Methylene chloride  </t>
  </si>
  <si>
    <t>Methyl chloride  </t>
  </si>
  <si>
    <t>http://www.ipcc.ch/publications_and_data/ar4/wg1/en/ch2s2-10-2.html</t>
  </si>
  <si>
    <t>Klimakompasset (2016). Beregn CO2-udledning. Besøgt 2016-07-21 på http://www.klimakompasset.dk/#/168728/</t>
  </si>
  <si>
    <t>Ecoinvent Center: Weidema, B.P., Bauer, C., Hischier, R., Mutel, C., Nemecek, T., Reinhard, J., Vadenbo, C.O., Wernet, G. (2013). The ecoinvent database: Overview and methodology, Data quality guideline for the ecoinvent database version 3, www.ecoinvent.org</t>
  </si>
  <si>
    <t>Hill et al (2014)</t>
  </si>
  <si>
    <r>
      <t xml:space="preserve">Hill, A.L., Dall, O.L., Andersen, F.M. (2014) Modelling recycling targets: Achieving a 50% recycling rate for household waste in Denmark. </t>
    </r>
    <r>
      <rPr>
        <i/>
        <sz val="9"/>
        <color theme="1"/>
        <rFont val="Verdana"/>
        <family val="2"/>
      </rPr>
      <t xml:space="preserve">Journal of Environmental Protection, 5: </t>
    </r>
    <r>
      <rPr>
        <sz val="9"/>
        <color theme="1"/>
        <rFont val="Verdana"/>
        <family val="2"/>
      </rPr>
      <t>627-636. DOI: 10.4236/jep.2014.57064</t>
    </r>
  </si>
  <si>
    <t>JRC (2012)</t>
  </si>
  <si>
    <t>Monforti-Ferrario F, Pinedo Pascua I (editors) (2015) Energy use in the EU food sector: State of play and opportunities for improvement. Luxembourg (LU), Publications Office of the European Union</t>
  </si>
  <si>
    <t>Norgate (2004)</t>
  </si>
  <si>
    <t>Norgate TE (2004) Metal recycling: an assessment using life cycle energy consumpiton as a sustainability indicator. Clayton South (AU), CSIRO Minerals. 44pp</t>
  </si>
  <si>
    <t>BB-KEM, Version 1, 2016-07-21, er udarbejdet af Teunis J. Dijkman [tedi(a)dtu.dk] og Stig I. Olsen udelukkende for brug i Bæredygtig Bundlinje.</t>
  </si>
  <si>
    <t>BB-KEM, Version 2, 2017-04-20, er udarbejdet af Mads F. Madsen [s134792@student.dtu.dk] og Stig I. Olsen (siol@dtu.dk) udelukkende for brug i Bæredygtig Bundlinje.</t>
  </si>
  <si>
    <t>Danmarks Tekniske Universitet</t>
  </si>
  <si>
    <t>DTU Management Engineering</t>
  </si>
  <si>
    <t>Produktionstorvet, bygning 424</t>
  </si>
  <si>
    <t>DK-2800 Kgs. Lyngby</t>
  </si>
  <si>
    <t>pass: BB</t>
  </si>
  <si>
    <t>Enhedskonvertering</t>
  </si>
  <si>
    <t>fra…</t>
  </si>
  <si>
    <t>…til</t>
  </si>
  <si>
    <t>MJ</t>
  </si>
  <si>
    <t>kg</t>
  </si>
  <si>
    <t>tons</t>
  </si>
  <si>
    <t>Resssourcehåndtering efter endt brug</t>
  </si>
  <si>
    <t>D. Resssourcehåndteringen efter endt brug</t>
  </si>
  <si>
    <t>D.1. Ressourcehåndtering efter endt brug</t>
  </si>
  <si>
    <t>D.2. Ændringer i håndtering af virksomhedens ressourcer</t>
  </si>
  <si>
    <t>Ændringer i håndtering af materialer fra virksomhedens matrikel skal indberettes her. Skal indberettes opgjort i tons pr. år.</t>
  </si>
  <si>
    <t>Livstidsforlængelse 
[%]</t>
  </si>
  <si>
    <t>C.1. Livstidsforlængelse i brugsfasen.</t>
  </si>
  <si>
    <t>Tekstil</t>
  </si>
  <si>
    <t>Sand</t>
  </si>
  <si>
    <t xml:space="preserve">Besparelse </t>
  </si>
  <si>
    <t xml:space="preserve">FF
</t>
  </si>
  <si>
    <t xml:space="preserve">Klimakompas beregning </t>
  </si>
  <si>
    <t>Her skal ændringer i resssourcehåndtering efter endt brug af produktet indberegnes.</t>
  </si>
  <si>
    <t>Materiale 1</t>
  </si>
  <si>
    <t>Materiale 2</t>
  </si>
  <si>
    <t>Materiale 3</t>
  </si>
  <si>
    <t>Sum</t>
  </si>
  <si>
    <t xml:space="preserve">Sum </t>
  </si>
  <si>
    <t>Besparelse
[t materiale]</t>
  </si>
  <si>
    <t>[ton materiale]</t>
  </si>
  <si>
    <t>Skal virksomheden krediteres for (1) undgået produktion af materialer ved genbrug eller genanvendelse, og (2) undgået elproduktion ved forbrænding af affald? Indstillingen har ingen betydning for rapporteringen af effekter på virksomhedens matrikel (afsnit B), men det anbefales at inkludere dette, særlig i sektion D.
Anbefalet instilling: "Ja"</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</si>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</sst>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00000"/>
    <numFmt numFmtId="167" formatCode="0E+00"/>
    <numFmt numFmtId="168" formatCode="0.000"/>
    <numFmt numFmtId="169" formatCode="#,##0.000"/>
    <numFmt numFmtId="170" formatCode="#,##0.0"/>
    <numFmt numFmtId="171" formatCode="0.0000"/>
    <numFmt numFmtId="172" formatCode="_ * #,##0.000000_ ;_ * \-#,##0.000000_ ;_ * &quot;-&quot;??_ ;_ @_ "/>
    <numFmt numFmtId="173" formatCode="_ * #,##0_ ;_ * \-#,##0_ ;_ * &quot;-&quot;??_ ;_ @_ "/>
    <numFmt numFmtId="174" formatCode="_ * #,##0.0_ ;_ * \-#,##0.0_ ;_ * &quot;-&quot;??_ ;_ @_ "/>
  </numFmts>
  <fonts count="53" x14ac:knownFonts="1">
    <font>
      <sz val="9"/>
      <color theme="1"/>
      <name val="Verdana"/>
      <family val="2"/>
    </font>
    <font>
      <b/>
      <sz val="9"/>
      <color theme="1"/>
      <name val="Verdana"/>
      <family val="2"/>
    </font>
    <font>
      <b/>
      <sz val="11"/>
      <color theme="1"/>
      <name val="Verdana"/>
      <family val="2"/>
    </font>
    <font>
      <sz val="11"/>
      <color theme="1"/>
      <name val="Verdana"/>
      <family val="2"/>
    </font>
    <font>
      <b/>
      <sz val="14"/>
      <color theme="1"/>
      <name val="Verdana"/>
      <family val="2"/>
    </font>
    <font>
      <sz val="8"/>
      <color theme="1"/>
      <name val="Verdana"/>
      <family val="2"/>
    </font>
    <font>
      <vertAlign val="subscript"/>
      <sz val="8"/>
      <color theme="1"/>
      <name val="Verdana"/>
      <family val="2"/>
    </font>
    <font>
      <sz val="8"/>
      <color theme="0" tint="-0.499984740745262"/>
      <name val="Verdana"/>
      <family val="2"/>
    </font>
    <font>
      <i/>
      <sz val="8"/>
      <color theme="1"/>
      <name val="Verdana"/>
      <family val="2"/>
    </font>
    <font>
      <b/>
      <sz val="8"/>
      <color theme="1"/>
      <name val="Verdana"/>
      <family val="2"/>
    </font>
    <font>
      <sz val="8"/>
      <name val="Verdana"/>
      <family val="2"/>
    </font>
    <font>
      <vertAlign val="superscript"/>
      <sz val="8"/>
      <color theme="1"/>
      <name val="Verdana"/>
      <family val="2"/>
    </font>
    <font>
      <b/>
      <sz val="10"/>
      <color theme="1"/>
      <name val="Verdana"/>
      <family val="2"/>
    </font>
    <font>
      <b/>
      <sz val="9"/>
      <name val="Verdana"/>
      <family val="2"/>
    </font>
    <font>
      <i/>
      <sz val="9"/>
      <color theme="1"/>
      <name val="Verdana"/>
      <family val="2"/>
    </font>
    <font>
      <sz val="7"/>
      <color theme="1"/>
      <name val="Verdana"/>
      <family val="2"/>
    </font>
    <font>
      <sz val="9"/>
      <name val="Verdana"/>
      <family val="2"/>
    </font>
    <font>
      <sz val="9"/>
      <color theme="0" tint="-0.34998626667073579"/>
      <name val="Verdana"/>
      <family val="2"/>
    </font>
    <font>
      <sz val="9"/>
      <color theme="1"/>
      <name val="Calibri"/>
      <family val="2"/>
      <scheme val="minor"/>
    </font>
    <font>
      <b/>
      <sz val="9"/>
      <color theme="1"/>
      <name val="Calibri"/>
      <family val="2"/>
      <scheme val="minor"/>
    </font>
    <font>
      <b/>
      <sz val="9.5"/>
      <color theme="1"/>
      <name val="Calibri"/>
      <family val="2"/>
      <scheme val="minor"/>
    </font>
    <font>
      <sz val="10"/>
      <name val="Arial"/>
      <family val="2"/>
    </font>
    <font>
      <vertAlign val="superscript"/>
      <sz val="9"/>
      <color theme="1"/>
      <name val="Verdana"/>
      <family val="2"/>
    </font>
    <font>
      <u/>
      <sz val="9"/>
      <color theme="1"/>
      <name val="Verdana"/>
      <family val="2"/>
    </font>
    <font>
      <b/>
      <sz val="12"/>
      <color theme="1"/>
      <name val="Verdana"/>
      <family val="2"/>
    </font>
    <font>
      <sz val="9"/>
      <color theme="1"/>
      <name val="Verdana"/>
      <family val="2"/>
    </font>
    <font>
      <b/>
      <sz val="12"/>
      <color theme="1"/>
      <name val="Arial"/>
      <family val="2"/>
    </font>
    <font>
      <sz val="11.5"/>
      <color theme="1"/>
      <name val="Arial"/>
      <family val="2"/>
    </font>
    <font>
      <b/>
      <sz val="18"/>
      <color theme="1"/>
      <name val="Arial"/>
      <family val="2"/>
    </font>
    <font>
      <b/>
      <sz val="7"/>
      <color theme="1"/>
      <name val="Times New Roman"/>
      <family val="1"/>
    </font>
    <font>
      <vertAlign val="subscript"/>
      <sz val="11.5"/>
      <color theme="1"/>
      <name val="Arial"/>
      <family val="2"/>
    </font>
    <font>
      <sz val="7"/>
      <color theme="1"/>
      <name val="Times New Roman"/>
      <family val="1"/>
    </font>
    <font>
      <b/>
      <sz val="11.5"/>
      <color theme="1"/>
      <name val="Arial"/>
      <family val="2"/>
    </font>
    <font>
      <sz val="8"/>
      <color theme="1"/>
      <name val="Arial"/>
      <family val="2"/>
    </font>
    <font>
      <sz val="11.5"/>
      <color theme="1"/>
      <name val="Symbol"/>
      <family val="1"/>
      <charset val="2"/>
    </font>
    <font>
      <sz val="12"/>
      <color theme="1"/>
      <name val="Arial"/>
      <family val="2"/>
    </font>
    <font>
      <i/>
      <sz val="12"/>
      <color theme="1"/>
      <name val="Arial"/>
      <family val="2"/>
    </font>
    <font>
      <i/>
      <sz val="11.5"/>
      <color theme="1"/>
      <name val="Arial"/>
      <family val="2"/>
    </font>
    <font>
      <sz val="9"/>
      <color rgb="FFFF0000"/>
      <name val="Verdana"/>
      <family val="2"/>
    </font>
    <font>
      <sz val="11.5"/>
      <name val="Arial"/>
      <family val="2"/>
    </font>
    <font>
      <sz val="7"/>
      <name val="Times New Roman"/>
      <family val="1"/>
    </font>
    <font>
      <sz val="9"/>
      <color indexed="81"/>
      <name val="Tahoma"/>
      <family val="2"/>
    </font>
    <font>
      <b/>
      <sz val="9"/>
      <color indexed="81"/>
      <name val="Tahoma"/>
      <family val="2"/>
    </font>
    <font>
      <sz val="9"/>
      <color rgb="FFFF2D2D"/>
      <name val="Verdana"/>
      <family val="2"/>
    </font>
    <font>
      <b/>
      <sz val="9"/>
      <color rgb="FFFF2D2D"/>
      <name val="Verdana"/>
      <family val="2"/>
    </font>
    <font>
      <b/>
      <sz val="16"/>
      <color theme="1"/>
      <name val="Verdana"/>
      <family val="2"/>
    </font>
    <font>
      <u/>
      <sz val="9"/>
      <color theme="10"/>
      <name val="Verdana"/>
      <family val="2"/>
    </font>
    <font>
      <b/>
      <sz val="9"/>
      <color rgb="FFFF7979"/>
      <name val="Verdana"/>
      <family val="2"/>
    </font>
    <font>
      <sz val="9"/>
      <color rgb="FFFF7979"/>
      <name val="Verdana"/>
      <family val="2"/>
    </font>
    <font>
      <b/>
      <sz val="9"/>
      <color theme="0"/>
      <name val="Verdana"/>
      <family val="2"/>
    </font>
    <font>
      <b/>
      <sz val="9"/>
      <color rgb="FFFF0000"/>
      <name val="Verdana"/>
      <family val="2"/>
    </font>
    <font>
      <b/>
      <sz val="11"/>
      <color rgb="FFFF0000"/>
      <name val="Verdana"/>
      <family val="2"/>
    </font>
    <font>
      <sz val="10"/>
      <color theme="1"/>
      <name val="Verdana"/>
      <family val="2"/>
    </font>
  </fonts>
  <fills count="3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rgb="FF95F062"/>
        <bgColor indexed="64"/>
      </patternFill>
    </fill>
    <fill>
      <patternFill patternType="solid">
        <fgColor rgb="FF00B0F0"/>
        <bgColor indexed="64"/>
      </patternFill>
    </fill>
    <fill>
      <patternFill patternType="solid">
        <fgColor rgb="FFFFCC66"/>
        <bgColor indexed="64"/>
      </patternFill>
    </fill>
    <fill>
      <patternFill patternType="solid">
        <fgColor rgb="FFFF7979"/>
        <bgColor indexed="64"/>
      </patternFill>
    </fill>
    <fill>
      <patternFill patternType="solid">
        <fgColor theme="1"/>
        <bgColor indexed="64"/>
      </patternFill>
    </fill>
    <fill>
      <patternFill patternType="solid">
        <fgColor theme="9"/>
        <bgColor indexed="64"/>
      </patternFill>
    </fill>
    <fill>
      <patternFill patternType="solid">
        <fgColor rgb="FFFFC0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diagonalDown="1">
      <left style="thin">
        <color auto="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style="thin">
        <color auto="1"/>
      </bottom>
      <diagonal style="thin">
        <color auto="1"/>
      </diagonal>
    </border>
    <border diagonalUp="1" diagonalDown="1">
      <left/>
      <right style="thin">
        <color auto="1"/>
      </right>
      <top/>
      <bottom style="thin">
        <color auto="1"/>
      </bottom>
      <diagonal style="thin">
        <color auto="1"/>
      </diagonal>
    </border>
    <border diagonalUp="1" diagonalDown="1">
      <left/>
      <right/>
      <top style="thin">
        <color auto="1"/>
      </top>
      <bottom/>
      <diagonal style="thin">
        <color auto="1"/>
      </diagonal>
    </border>
    <border diagonalUp="1" diagonalDown="1">
      <left/>
      <right/>
      <top/>
      <bottom style="thin">
        <color auto="1"/>
      </bottom>
      <diagonal style="thin">
        <color auto="1"/>
      </diagonal>
    </border>
    <border diagonalUp="1" diagonalDown="1">
      <left/>
      <right/>
      <top/>
      <bottom/>
      <diagonal style="thin">
        <color auto="1"/>
      </diagonal>
    </border>
    <border diagonalUp="1" diagonalDown="1">
      <left style="thin">
        <color auto="1"/>
      </left>
      <right/>
      <top/>
      <bottom/>
      <diagonal style="thin">
        <color auto="1"/>
      </diagonal>
    </border>
    <border diagonalUp="1" diagonalDown="1">
      <left/>
      <right style="thin">
        <color auto="1"/>
      </right>
      <top/>
      <bottom/>
      <diagonal style="thin">
        <color auto="1"/>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5">
    <xf numFmtId="0" fontId="0" fillId="0" borderId="0"/>
    <xf numFmtId="0" fontId="21" fillId="0" borderId="0"/>
    <xf numFmtId="164" fontId="25" fillId="0" borderId="0" applyFont="0" applyFill="0" applyBorder="0" applyAlignment="0" applyProtection="0"/>
    <xf numFmtId="9" fontId="25" fillId="0" borderId="0" applyFont="0" applyFill="0" applyBorder="0" applyAlignment="0" applyProtection="0"/>
    <xf numFmtId="0" fontId="46" fillId="0" borderId="0" applyNumberFormat="0" applyFill="0" applyBorder="0" applyAlignment="0" applyProtection="0"/>
  </cellStyleXfs>
  <cellXfs count="934">
    <xf numFmtId="0" fontId="0" fillId="0" borderId="0" xfId="0"/>
    <xf numFmtId="0" fontId="0" fillId="3" borderId="0" xfId="0" applyFill="1"/>
    <xf numFmtId="0" fontId="0" fillId="4" borderId="0" xfId="0" applyFill="1" applyBorder="1"/>
    <xf numFmtId="0" fontId="0" fillId="6" borderId="0" xfId="0" applyFill="1"/>
    <xf numFmtId="0" fontId="0" fillId="0" borderId="0" xfId="0" applyFill="1"/>
    <xf numFmtId="0" fontId="0" fillId="4" borderId="6" xfId="0" applyFill="1" applyBorder="1" applyAlignment="1">
      <alignment horizontal="right"/>
    </xf>
    <xf numFmtId="0" fontId="0" fillId="4" borderId="5" xfId="0" applyFill="1" applyBorder="1"/>
    <xf numFmtId="0" fontId="1" fillId="3" borderId="0" xfId="0" applyFont="1" applyFill="1"/>
    <xf numFmtId="0" fontId="0" fillId="3" borderId="8" xfId="0" applyFill="1" applyBorder="1"/>
    <xf numFmtId="0" fontId="2" fillId="3" borderId="0" xfId="0" applyFont="1" applyFill="1"/>
    <xf numFmtId="0" fontId="0" fillId="0" borderId="0" xfId="0" applyAlignment="1">
      <alignment vertical="top"/>
    </xf>
    <xf numFmtId="0" fontId="0" fillId="6" borderId="0" xfId="0" applyFill="1" applyAlignment="1">
      <alignment vertical="top"/>
    </xf>
    <xf numFmtId="0" fontId="1" fillId="6" borderId="0" xfId="0" applyFont="1" applyFill="1" applyAlignment="1">
      <alignment vertical="top"/>
    </xf>
    <xf numFmtId="0" fontId="1" fillId="6" borderId="0" xfId="0" applyFont="1" applyFill="1"/>
    <xf numFmtId="0" fontId="3" fillId="6" borderId="0" xfId="0" applyFont="1" applyFill="1"/>
    <xf numFmtId="0" fontId="3" fillId="0" borderId="0" xfId="0" applyFont="1"/>
    <xf numFmtId="0" fontId="0" fillId="4" borderId="1" xfId="0" applyFill="1" applyBorder="1" applyAlignment="1">
      <alignment horizontal="right"/>
    </xf>
    <xf numFmtId="0" fontId="5" fillId="0" borderId="8" xfId="0" applyFont="1" applyBorder="1"/>
    <xf numFmtId="0" fontId="5" fillId="0" borderId="0" xfId="0" applyFont="1" applyAlignment="1">
      <alignment horizontal="right"/>
    </xf>
    <xf numFmtId="0" fontId="5" fillId="0" borderId="0" xfId="0" applyFont="1"/>
    <xf numFmtId="2" fontId="5" fillId="0" borderId="0" xfId="0" applyNumberFormat="1" applyFont="1"/>
    <xf numFmtId="165" fontId="5" fillId="0" borderId="0" xfId="0" applyNumberFormat="1" applyFont="1"/>
    <xf numFmtId="0" fontId="5" fillId="12" borderId="0" xfId="0" applyFont="1" applyFill="1"/>
    <xf numFmtId="0" fontId="5" fillId="11" borderId="0" xfId="0" applyFont="1" applyFill="1"/>
    <xf numFmtId="0" fontId="5" fillId="13" borderId="0" xfId="0" applyFont="1" applyFill="1"/>
    <xf numFmtId="0" fontId="5" fillId="8" borderId="0" xfId="0" applyFont="1" applyFill="1"/>
    <xf numFmtId="0" fontId="5" fillId="0" borderId="1" xfId="0" applyFont="1" applyFill="1" applyBorder="1"/>
    <xf numFmtId="0" fontId="5" fillId="9" borderId="0" xfId="0" applyFont="1" applyFill="1"/>
    <xf numFmtId="0" fontId="5" fillId="0" borderId="8" xfId="0" applyFont="1" applyBorder="1" applyAlignment="1">
      <alignment horizontal="center"/>
    </xf>
    <xf numFmtId="0" fontId="5" fillId="0" borderId="0" xfId="0" applyFont="1" applyBorder="1"/>
    <xf numFmtId="1" fontId="5" fillId="0" borderId="0" xfId="0" applyNumberFormat="1" applyFont="1" applyBorder="1"/>
    <xf numFmtId="0" fontId="5" fillId="0" borderId="11" xfId="0" applyFont="1" applyBorder="1"/>
    <xf numFmtId="0" fontId="5" fillId="0" borderId="0" xfId="0" applyFont="1" applyBorder="1" applyAlignment="1">
      <alignment horizontal="right"/>
    </xf>
    <xf numFmtId="165" fontId="5" fillId="0" borderId="11" xfId="0" applyNumberFormat="1" applyFont="1" applyBorder="1"/>
    <xf numFmtId="0" fontId="1" fillId="3" borderId="0" xfId="0" applyFont="1" applyFill="1" applyBorder="1"/>
    <xf numFmtId="0" fontId="7" fillId="0" borderId="0" xfId="0" applyFont="1" applyAlignment="1">
      <alignment horizontal="center" vertical="top" wrapText="1"/>
    </xf>
    <xf numFmtId="0" fontId="8" fillId="0" borderId="0" xfId="0" applyFont="1" applyBorder="1"/>
    <xf numFmtId="0" fontId="8" fillId="0" borderId="8" xfId="0" applyFont="1" applyBorder="1"/>
    <xf numFmtId="0" fontId="7" fillId="0" borderId="8" xfId="0" applyFont="1" applyBorder="1" applyAlignment="1">
      <alignment horizontal="center" vertical="top" wrapText="1"/>
    </xf>
    <xf numFmtId="0" fontId="8" fillId="0" borderId="3" xfId="0" applyFont="1" applyBorder="1"/>
    <xf numFmtId="2" fontId="5" fillId="0" borderId="0" xfId="0" applyNumberFormat="1" applyFont="1" applyBorder="1"/>
    <xf numFmtId="165" fontId="5" fillId="0" borderId="0" xfId="0" applyNumberFormat="1" applyFont="1" applyBorder="1"/>
    <xf numFmtId="0" fontId="8" fillId="0" borderId="11" xfId="0" applyFont="1" applyBorder="1" applyAlignment="1"/>
    <xf numFmtId="0" fontId="5" fillId="15" borderId="0" xfId="0" applyFont="1" applyFill="1" applyAlignment="1">
      <alignment horizontal="right"/>
    </xf>
    <xf numFmtId="0" fontId="5" fillId="15" borderId="0" xfId="0" applyFont="1" applyFill="1" applyBorder="1" applyAlignment="1">
      <alignment horizontal="right"/>
    </xf>
    <xf numFmtId="0" fontId="5" fillId="15" borderId="0" xfId="0" applyFont="1" applyFill="1" applyBorder="1"/>
    <xf numFmtId="0" fontId="5" fillId="15" borderId="0" xfId="0" applyFont="1" applyFill="1"/>
    <xf numFmtId="1" fontId="5" fillId="15" borderId="0" xfId="0" applyNumberFormat="1" applyFont="1" applyFill="1" applyBorder="1"/>
    <xf numFmtId="0" fontId="5" fillId="0" borderId="0" xfId="0" applyFont="1" applyFill="1" applyBorder="1"/>
    <xf numFmtId="0" fontId="5" fillId="0" borderId="0" xfId="0" applyFont="1" applyFill="1"/>
    <xf numFmtId="0" fontId="5" fillId="0" borderId="8" xfId="0" applyFont="1" applyFill="1" applyBorder="1"/>
    <xf numFmtId="165" fontId="5" fillId="15" borderId="0" xfId="0" applyNumberFormat="1" applyFont="1" applyFill="1" applyBorder="1"/>
    <xf numFmtId="165" fontId="5" fillId="0" borderId="8" xfId="0" applyNumberFormat="1" applyFont="1" applyBorder="1"/>
    <xf numFmtId="0" fontId="5" fillId="12" borderId="0" xfId="0" applyFont="1" applyFill="1" applyBorder="1" applyAlignment="1">
      <alignment horizontal="right"/>
    </xf>
    <xf numFmtId="166" fontId="5" fillId="12" borderId="0" xfId="0" applyNumberFormat="1" applyFont="1" applyFill="1"/>
    <xf numFmtId="0" fontId="5" fillId="12" borderId="8" xfId="0" applyFont="1" applyFill="1" applyBorder="1"/>
    <xf numFmtId="11" fontId="5" fillId="0" borderId="8" xfId="0" applyNumberFormat="1" applyFont="1" applyBorder="1"/>
    <xf numFmtId="0" fontId="5" fillId="4" borderId="1" xfId="0" applyFont="1" applyFill="1" applyBorder="1"/>
    <xf numFmtId="0" fontId="5" fillId="4" borderId="1" xfId="0" applyFont="1" applyFill="1" applyBorder="1" applyAlignment="1">
      <alignment horizontal="right"/>
    </xf>
    <xf numFmtId="0" fontId="9" fillId="0" borderId="8" xfId="0" applyFont="1" applyBorder="1"/>
    <xf numFmtId="0" fontId="5" fillId="0" borderId="0" xfId="0" applyFont="1" applyAlignment="1">
      <alignment horizontal="left"/>
    </xf>
    <xf numFmtId="0" fontId="5" fillId="3" borderId="0" xfId="0" applyFont="1" applyFill="1"/>
    <xf numFmtId="0" fontId="5" fillId="0" borderId="8" xfId="0" applyFont="1" applyBorder="1" applyAlignment="1">
      <alignment horizontal="left"/>
    </xf>
    <xf numFmtId="0" fontId="10" fillId="3" borderId="0" xfId="0" applyFont="1" applyFill="1"/>
    <xf numFmtId="0" fontId="5" fillId="3" borderId="0" xfId="0" quotePrefix="1" applyFont="1" applyFill="1"/>
    <xf numFmtId="0" fontId="10" fillId="3" borderId="0" xfId="0" quotePrefix="1" applyFont="1" applyFill="1"/>
    <xf numFmtId="0" fontId="5" fillId="0" borderId="0" xfId="0" applyFont="1" applyAlignment="1"/>
    <xf numFmtId="0" fontId="0" fillId="4" borderId="11" xfId="0" applyFill="1" applyBorder="1"/>
    <xf numFmtId="0" fontId="0" fillId="3" borderId="0" xfId="0" applyFill="1" applyAlignment="1">
      <alignment horizontal="center"/>
    </xf>
    <xf numFmtId="1" fontId="5" fillId="0" borderId="8" xfId="0" applyNumberFormat="1" applyFont="1" applyBorder="1"/>
    <xf numFmtId="0" fontId="5" fillId="0" borderId="3" xfId="0" applyFont="1" applyBorder="1"/>
    <xf numFmtId="0" fontId="8" fillId="0" borderId="8" xfId="0" applyFont="1" applyBorder="1" applyAlignment="1"/>
    <xf numFmtId="167" fontId="5" fillId="0" borderId="0" xfId="0" applyNumberFormat="1" applyFont="1"/>
    <xf numFmtId="0" fontId="5" fillId="17" borderId="0" xfId="0" applyFont="1" applyFill="1"/>
    <xf numFmtId="0" fontId="5" fillId="3" borderId="1" xfId="0" applyFont="1" applyFill="1" applyBorder="1"/>
    <xf numFmtId="11" fontId="5" fillId="0" borderId="0" xfId="0" applyNumberFormat="1" applyFont="1"/>
    <xf numFmtId="11" fontId="5" fillId="15" borderId="0" xfId="0" applyNumberFormat="1" applyFont="1" applyFill="1"/>
    <xf numFmtId="11" fontId="5" fillId="17" borderId="0" xfId="0" applyNumberFormat="1" applyFont="1" applyFill="1"/>
    <xf numFmtId="11" fontId="5" fillId="17" borderId="8" xfId="0" applyNumberFormat="1" applyFont="1" applyFill="1" applyBorder="1"/>
    <xf numFmtId="11" fontId="5" fillId="11" borderId="0" xfId="0" applyNumberFormat="1" applyFont="1" applyFill="1"/>
    <xf numFmtId="11" fontId="5" fillId="11" borderId="8" xfId="0" applyNumberFormat="1" applyFont="1" applyFill="1" applyBorder="1"/>
    <xf numFmtId="11" fontId="5" fillId="4" borderId="1" xfId="0" applyNumberFormat="1" applyFont="1" applyFill="1" applyBorder="1"/>
    <xf numFmtId="11" fontId="5" fillId="12" borderId="0" xfId="0" applyNumberFormat="1" applyFont="1" applyFill="1" applyBorder="1" applyAlignment="1">
      <alignment horizontal="right"/>
    </xf>
    <xf numFmtId="0" fontId="5" fillId="11" borderId="1" xfId="0" applyFont="1" applyFill="1" applyBorder="1"/>
    <xf numFmtId="166" fontId="5" fillId="11" borderId="0" xfId="0" applyNumberFormat="1" applyFont="1" applyFill="1"/>
    <xf numFmtId="11" fontId="5" fillId="0" borderId="1" xfId="0" applyNumberFormat="1" applyFont="1" applyBorder="1"/>
    <xf numFmtId="11" fontId="5" fillId="11" borderId="1" xfId="0" applyNumberFormat="1" applyFont="1" applyFill="1" applyBorder="1"/>
    <xf numFmtId="0" fontId="5" fillId="11" borderId="0" xfId="0" applyFont="1" applyFill="1" applyBorder="1" applyAlignment="1">
      <alignment horizontal="right"/>
    </xf>
    <xf numFmtId="2" fontId="5" fillId="17" borderId="0" xfId="0" applyNumberFormat="1" applyFont="1" applyFill="1"/>
    <xf numFmtId="165" fontId="5" fillId="17" borderId="0" xfId="0" applyNumberFormat="1" applyFont="1" applyFill="1"/>
    <xf numFmtId="1" fontId="5" fillId="17" borderId="0" xfId="0" applyNumberFormat="1" applyFont="1" applyFill="1"/>
    <xf numFmtId="0" fontId="0" fillId="3" borderId="0" xfId="0" applyFont="1" applyFill="1"/>
    <xf numFmtId="0" fontId="0" fillId="4" borderId="0" xfId="0" applyFill="1"/>
    <xf numFmtId="0" fontId="0" fillId="6" borderId="0" xfId="0" applyFill="1" applyBorder="1"/>
    <xf numFmtId="0" fontId="1" fillId="6" borderId="0" xfId="0" applyFont="1" applyFill="1" applyBorder="1"/>
    <xf numFmtId="0" fontId="0" fillId="6" borderId="0" xfId="0" applyFill="1" applyBorder="1" applyAlignment="1"/>
    <xf numFmtId="0" fontId="1" fillId="3" borderId="0" xfId="0" applyFont="1" applyFill="1" applyAlignment="1">
      <alignment horizontal="center"/>
    </xf>
    <xf numFmtId="0" fontId="0" fillId="6" borderId="1" xfId="0" applyFill="1" applyBorder="1" applyAlignment="1">
      <alignment horizontal="center"/>
    </xf>
    <xf numFmtId="0" fontId="5" fillId="18" borderId="1" xfId="0" applyFont="1" applyFill="1" applyBorder="1"/>
    <xf numFmtId="2" fontId="5" fillId="12" borderId="0" xfId="0" applyNumberFormat="1" applyFont="1" applyFill="1"/>
    <xf numFmtId="0" fontId="5" fillId="19" borderId="0" xfId="0" applyFont="1" applyFill="1"/>
    <xf numFmtId="168" fontId="5" fillId="0" borderId="1" xfId="0" applyNumberFormat="1" applyFont="1" applyFill="1" applyBorder="1"/>
    <xf numFmtId="0" fontId="5" fillId="0" borderId="0" xfId="0" applyFont="1" applyBorder="1" applyAlignment="1">
      <alignment horizontal="left"/>
    </xf>
    <xf numFmtId="0" fontId="9" fillId="0" borderId="0" xfId="0" applyFont="1"/>
    <xf numFmtId="0" fontId="5" fillId="12" borderId="0" xfId="0" applyFont="1" applyFill="1" applyBorder="1"/>
    <xf numFmtId="0" fontId="5" fillId="12" borderId="0" xfId="0" applyNumberFormat="1" applyFont="1" applyFill="1"/>
    <xf numFmtId="168" fontId="5" fillId="12" borderId="0" xfId="0" applyNumberFormat="1" applyFont="1" applyFill="1"/>
    <xf numFmtId="2" fontId="5" fillId="10" borderId="0" xfId="0" applyNumberFormat="1" applyFont="1" applyFill="1"/>
    <xf numFmtId="2" fontId="5" fillId="8" borderId="0" xfId="0" applyNumberFormat="1" applyFont="1" applyFill="1"/>
    <xf numFmtId="0" fontId="5" fillId="12" borderId="10" xfId="0" applyNumberFormat="1" applyFont="1" applyFill="1" applyBorder="1"/>
    <xf numFmtId="0" fontId="5" fillId="12" borderId="0" xfId="0" applyNumberFormat="1" applyFont="1" applyFill="1" applyBorder="1"/>
    <xf numFmtId="169" fontId="5" fillId="12" borderId="0" xfId="0" applyNumberFormat="1" applyFont="1" applyFill="1"/>
    <xf numFmtId="0" fontId="5" fillId="9" borderId="0" xfId="0" applyFont="1" applyFill="1" applyBorder="1"/>
    <xf numFmtId="2" fontId="5" fillId="0" borderId="1" xfId="0" applyNumberFormat="1" applyFont="1" applyBorder="1"/>
    <xf numFmtId="168" fontId="5" fillId="4" borderId="1" xfId="0" applyNumberFormat="1" applyFont="1" applyFill="1" applyBorder="1"/>
    <xf numFmtId="2" fontId="5" fillId="4" borderId="1" xfId="0" applyNumberFormat="1" applyFont="1" applyFill="1" applyBorder="1"/>
    <xf numFmtId="2" fontId="5" fillId="0" borderId="8" xfId="0" applyNumberFormat="1" applyFont="1" applyBorder="1"/>
    <xf numFmtId="0" fontId="5" fillId="10" borderId="0" xfId="0" applyFont="1" applyFill="1" applyAlignment="1">
      <alignment horizontal="left" vertical="top"/>
    </xf>
    <xf numFmtId="0" fontId="5" fillId="13" borderId="0" xfId="0" applyFont="1" applyFill="1" applyBorder="1"/>
    <xf numFmtId="0" fontId="5" fillId="3" borderId="10" xfId="0" applyFont="1" applyFill="1" applyBorder="1"/>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horizontal="center"/>
    </xf>
    <xf numFmtId="0" fontId="5" fillId="0" borderId="5" xfId="0" applyFont="1" applyBorder="1" applyAlignment="1">
      <alignment horizontal="right"/>
    </xf>
    <xf numFmtId="165" fontId="5" fillId="17" borderId="5" xfId="0" applyNumberFormat="1" applyFont="1" applyFill="1" applyBorder="1"/>
    <xf numFmtId="1" fontId="5" fillId="17" borderId="5" xfId="0" applyNumberFormat="1" applyFont="1" applyFill="1" applyBorder="1"/>
    <xf numFmtId="0" fontId="5" fillId="17" borderId="5" xfId="0" applyFont="1" applyFill="1" applyBorder="1"/>
    <xf numFmtId="2" fontId="5" fillId="17" borderId="5" xfId="0" applyNumberFormat="1" applyFont="1" applyFill="1" applyBorder="1"/>
    <xf numFmtId="0" fontId="5" fillId="0" borderId="10" xfId="0" applyFont="1" applyBorder="1"/>
    <xf numFmtId="0" fontId="5" fillId="0" borderId="12" xfId="0" applyFont="1" applyBorder="1" applyAlignment="1">
      <alignment horizontal="right"/>
    </xf>
    <xf numFmtId="2" fontId="5" fillId="0" borderId="1" xfId="0" applyNumberFormat="1" applyFont="1" applyBorder="1" applyAlignment="1">
      <alignment horizontal="right"/>
    </xf>
    <xf numFmtId="0" fontId="5" fillId="8" borderId="0" xfId="0" applyFont="1" applyFill="1" applyBorder="1" applyAlignment="1">
      <alignment horizontal="right"/>
    </xf>
    <xf numFmtId="0" fontId="5" fillId="0" borderId="5" xfId="0" applyFont="1" applyFill="1" applyBorder="1"/>
    <xf numFmtId="0" fontId="5" fillId="0" borderId="7" xfId="0" applyFont="1" applyFill="1" applyBorder="1"/>
    <xf numFmtId="0" fontId="5" fillId="0" borderId="0" xfId="0" applyFont="1" applyAlignment="1">
      <alignment horizontal="left" vertical="top" wrapText="1"/>
    </xf>
    <xf numFmtId="0" fontId="7" fillId="0" borderId="0" xfId="0" applyFont="1" applyAlignment="1">
      <alignment horizontal="center" vertical="center" wrapText="1"/>
    </xf>
    <xf numFmtId="0" fontId="5" fillId="0" borderId="0" xfId="0" applyFont="1" applyAlignment="1">
      <alignment horizontal="right" vertical="top" wrapText="1"/>
    </xf>
    <xf numFmtId="0" fontId="5" fillId="0" borderId="2" xfId="0" applyFont="1" applyBorder="1" applyAlignment="1">
      <alignment horizontal="right"/>
    </xf>
    <xf numFmtId="0" fontId="15" fillId="0" borderId="0" xfId="0" applyFont="1" applyAlignment="1">
      <alignment horizontal="center" vertical="top" wrapText="1"/>
    </xf>
    <xf numFmtId="0" fontId="15" fillId="0" borderId="5" xfId="0" applyFont="1" applyBorder="1" applyAlignment="1">
      <alignment horizontal="center" vertical="top" wrapText="1"/>
    </xf>
    <xf numFmtId="0" fontId="15" fillId="0" borderId="0" xfId="0" applyFont="1" applyAlignment="1">
      <alignment horizontal="left" vertical="top" wrapText="1"/>
    </xf>
    <xf numFmtId="0" fontId="5" fillId="0" borderId="11" xfId="0" applyFont="1" applyBorder="1" applyAlignment="1">
      <alignment horizontal="right"/>
    </xf>
    <xf numFmtId="0" fontId="5" fillId="0" borderId="0" xfId="0" applyNumberFormat="1" applyFont="1" applyBorder="1"/>
    <xf numFmtId="167" fontId="5" fillId="0" borderId="3" xfId="0" applyNumberFormat="1" applyFont="1" applyBorder="1"/>
    <xf numFmtId="167" fontId="5" fillId="0" borderId="0" xfId="0" applyNumberFormat="1" applyFont="1" applyBorder="1"/>
    <xf numFmtId="167" fontId="5" fillId="0" borderId="8" xfId="0" applyNumberFormat="1" applyFont="1" applyBorder="1"/>
    <xf numFmtId="2" fontId="5" fillId="0" borderId="3" xfId="0" applyNumberFormat="1" applyFont="1" applyBorder="1"/>
    <xf numFmtId="0" fontId="5" fillId="4" borderId="0" xfId="0" applyFont="1" applyFill="1" applyBorder="1"/>
    <xf numFmtId="0" fontId="5" fillId="0" borderId="0" xfId="0" quotePrefix="1" applyFont="1" applyFill="1"/>
    <xf numFmtId="2" fontId="5" fillId="15" borderId="0" xfId="0" applyNumberFormat="1" applyFont="1" applyFill="1" applyBorder="1"/>
    <xf numFmtId="0" fontId="5" fillId="0" borderId="0" xfId="0" quotePrefix="1" applyFont="1" applyFill="1" applyBorder="1"/>
    <xf numFmtId="0" fontId="5" fillId="4" borderId="2" xfId="0" applyFont="1" applyFill="1" applyBorder="1"/>
    <xf numFmtId="0" fontId="5" fillId="4" borderId="3" xfId="0" applyFont="1" applyFill="1" applyBorder="1"/>
    <xf numFmtId="0" fontId="5" fillId="4" borderId="4" xfId="0" applyFont="1" applyFill="1" applyBorder="1"/>
    <xf numFmtId="0" fontId="5" fillId="4" borderId="5" xfId="0" applyFont="1" applyFill="1" applyBorder="1"/>
    <xf numFmtId="0" fontId="5" fillId="4" borderId="6" xfId="0" applyFont="1" applyFill="1" applyBorder="1"/>
    <xf numFmtId="0" fontId="5" fillId="4" borderId="7" xfId="0" applyFont="1" applyFill="1" applyBorder="1"/>
    <xf numFmtId="0" fontId="5" fillId="4" borderId="8" xfId="0" applyFont="1" applyFill="1" applyBorder="1"/>
    <xf numFmtId="0" fontId="5" fillId="4" borderId="9" xfId="0" applyFont="1" applyFill="1" applyBorder="1"/>
    <xf numFmtId="0" fontId="5" fillId="6" borderId="0" xfId="0" applyFont="1" applyFill="1"/>
    <xf numFmtId="0" fontId="5" fillId="4" borderId="5" xfId="0" applyFont="1" applyFill="1" applyBorder="1" applyAlignment="1">
      <alignment horizontal="center"/>
    </xf>
    <xf numFmtId="0" fontId="5" fillId="4" borderId="0"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5" fillId="4" borderId="0" xfId="0" applyFont="1" applyFill="1"/>
    <xf numFmtId="0" fontId="5" fillId="9" borderId="6" xfId="0" applyFont="1" applyFill="1" applyBorder="1"/>
    <xf numFmtId="0" fontId="5" fillId="15" borderId="0" xfId="0" applyNumberFormat="1" applyFont="1" applyFill="1" applyBorder="1"/>
    <xf numFmtId="0" fontId="5" fillId="0" borderId="7" xfId="0" applyFont="1" applyBorder="1" applyAlignment="1">
      <alignment horizontal="right"/>
    </xf>
    <xf numFmtId="0" fontId="5" fillId="20" borderId="0" xfId="0" applyFont="1" applyFill="1"/>
    <xf numFmtId="2" fontId="5" fillId="10" borderId="1" xfId="0" applyNumberFormat="1" applyFont="1" applyFill="1" applyBorder="1"/>
    <xf numFmtId="0" fontId="5" fillId="10" borderId="1" xfId="0" applyFont="1" applyFill="1" applyBorder="1"/>
    <xf numFmtId="0" fontId="0" fillId="4" borderId="8" xfId="0" applyFont="1" applyFill="1" applyBorder="1" applyAlignment="1">
      <alignment horizontal="left" vertical="top" wrapText="1"/>
    </xf>
    <xf numFmtId="0" fontId="0" fillId="0" borderId="0" xfId="0" applyFont="1"/>
    <xf numFmtId="0" fontId="0" fillId="6" borderId="0" xfId="0" applyFont="1" applyFill="1"/>
    <xf numFmtId="0" fontId="0" fillId="3" borderId="8" xfId="0" applyFont="1" applyFill="1" applyBorder="1"/>
    <xf numFmtId="0" fontId="0" fillId="4" borderId="0" xfId="0" applyFont="1" applyFill="1" applyAlignment="1">
      <alignment horizontal="left" vertical="top"/>
    </xf>
    <xf numFmtId="0" fontId="0" fillId="4" borderId="0" xfId="0" applyFont="1" applyFill="1" applyAlignment="1">
      <alignment horizontal="left" vertical="top" wrapText="1"/>
    </xf>
    <xf numFmtId="0" fontId="0" fillId="4" borderId="8" xfId="0" applyFont="1" applyFill="1" applyBorder="1" applyAlignment="1">
      <alignment horizontal="left" vertical="top"/>
    </xf>
    <xf numFmtId="0" fontId="0" fillId="4" borderId="0" xfId="0" applyFont="1" applyFill="1"/>
    <xf numFmtId="0" fontId="17" fillId="3" borderId="0" xfId="0" applyFont="1" applyFill="1" applyAlignment="1">
      <alignment horizontal="right"/>
    </xf>
    <xf numFmtId="0" fontId="0" fillId="0" borderId="0" xfId="0" applyBorder="1"/>
    <xf numFmtId="0" fontId="0" fillId="0" borderId="1" xfId="0" applyFont="1" applyBorder="1" applyAlignment="1">
      <alignment vertical="center" wrapText="1"/>
    </xf>
    <xf numFmtId="0" fontId="0" fillId="4" borderId="10" xfId="0" applyFill="1" applyBorder="1"/>
    <xf numFmtId="0" fontId="1"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20" fillId="21" borderId="10" xfId="0" applyFont="1" applyFill="1" applyBorder="1" applyAlignment="1">
      <alignment wrapText="1"/>
    </xf>
    <xf numFmtId="49" fontId="0" fillId="0" borderId="0" xfId="0" applyNumberFormat="1" applyFont="1" applyAlignment="1">
      <alignment vertical="center"/>
    </xf>
    <xf numFmtId="2" fontId="0" fillId="0" borderId="0" xfId="0" applyNumberFormat="1"/>
    <xf numFmtId="0" fontId="1" fillId="0" borderId="0" xfId="0" applyFont="1" applyAlignment="1">
      <alignment horizontal="center" vertical="center"/>
    </xf>
    <xf numFmtId="0" fontId="0" fillId="0" borderId="0" xfId="0" applyFont="1" applyFill="1" applyBorder="1" applyAlignment="1">
      <alignment vertical="center" wrapText="1"/>
    </xf>
    <xf numFmtId="3" fontId="0" fillId="0" borderId="0" xfId="0" applyNumberFormat="1" applyAlignment="1">
      <alignment vertical="center" wrapText="1"/>
    </xf>
    <xf numFmtId="0" fontId="0" fillId="0" borderId="0" xfId="0" applyFont="1" applyAlignment="1">
      <alignment horizontal="right" vertical="center" wrapText="1"/>
    </xf>
    <xf numFmtId="0" fontId="1" fillId="0" borderId="11" xfId="0" applyFont="1" applyFill="1" applyBorder="1" applyAlignment="1">
      <alignment vertical="center"/>
    </xf>
    <xf numFmtId="0" fontId="1" fillId="0" borderId="11" xfId="0" applyFont="1" applyFill="1" applyBorder="1"/>
    <xf numFmtId="0" fontId="0" fillId="0" borderId="5" xfId="0" applyFill="1" applyBorder="1"/>
    <xf numFmtId="0" fontId="1" fillId="4" borderId="10" xfId="0" applyFont="1" applyFill="1" applyBorder="1" applyAlignment="1">
      <alignment horizontal="left" vertical="center" indent="1"/>
    </xf>
    <xf numFmtId="0" fontId="1" fillId="4" borderId="10" xfId="0" applyFont="1" applyFill="1" applyBorder="1" applyAlignment="1">
      <alignment horizontal="left" indent="1"/>
    </xf>
    <xf numFmtId="0" fontId="1" fillId="0" borderId="10" xfId="0" applyFont="1" applyFill="1" applyBorder="1" applyAlignment="1">
      <alignment horizontal="left" indent="1"/>
    </xf>
    <xf numFmtId="11" fontId="5" fillId="15" borderId="0" xfId="0" applyNumberFormat="1" applyFont="1" applyFill="1" applyBorder="1"/>
    <xf numFmtId="11" fontId="5" fillId="11" borderId="0" xfId="0" applyNumberFormat="1" applyFont="1" applyFill="1" applyBorder="1"/>
    <xf numFmtId="0" fontId="0" fillId="22" borderId="1" xfId="0" applyFill="1" applyBorder="1" applyAlignment="1">
      <alignment horizontal="center" vertical="center" wrapText="1"/>
    </xf>
    <xf numFmtId="0" fontId="0" fillId="0" borderId="1" xfId="0" quotePrefix="1" applyFill="1" applyBorder="1" applyAlignment="1">
      <alignment horizontal="center" vertical="center" wrapText="1"/>
    </xf>
    <xf numFmtId="0" fontId="0" fillId="11" borderId="1" xfId="0" applyFill="1" applyBorder="1" applyAlignment="1">
      <alignment horizontal="center" vertical="center"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xf numFmtId="0" fontId="5" fillId="0" borderId="6" xfId="0" applyFont="1" applyBorder="1"/>
    <xf numFmtId="0" fontId="5" fillId="15" borderId="5" xfId="0" applyFont="1" applyFill="1" applyBorder="1" applyAlignment="1">
      <alignment horizontal="right"/>
    </xf>
    <xf numFmtId="0" fontId="5" fillId="15" borderId="6" xfId="0" applyFont="1" applyFill="1" applyBorder="1" applyAlignment="1">
      <alignment horizontal="right"/>
    </xf>
    <xf numFmtId="0" fontId="5" fillId="15" borderId="5" xfId="0" applyFont="1" applyFill="1" applyBorder="1"/>
    <xf numFmtId="0" fontId="5" fillId="15" borderId="6" xfId="0" applyFont="1" applyFill="1" applyBorder="1"/>
    <xf numFmtId="0" fontId="5" fillId="0" borderId="7" xfId="0" applyFont="1" applyBorder="1"/>
    <xf numFmtId="0" fontId="5" fillId="0" borderId="9" xfId="0" applyFont="1" applyBorder="1"/>
    <xf numFmtId="0" fontId="0" fillId="0" borderId="2" xfId="0" applyFill="1" applyBorder="1"/>
    <xf numFmtId="0" fontId="0" fillId="0" borderId="3" xfId="0" applyFill="1" applyBorder="1"/>
    <xf numFmtId="0" fontId="0" fillId="0" borderId="0" xfId="0" applyFill="1" applyBorder="1"/>
    <xf numFmtId="0" fontId="0" fillId="0" borderId="8" xfId="0" applyFill="1" applyBorder="1"/>
    <xf numFmtId="0" fontId="0" fillId="0" borderId="1" xfId="0" applyFill="1" applyBorder="1"/>
    <xf numFmtId="0" fontId="1" fillId="0" borderId="1" xfId="0" applyFont="1" applyFill="1" applyBorder="1" applyAlignment="1">
      <alignment vertical="center"/>
    </xf>
    <xf numFmtId="0" fontId="1" fillId="0" borderId="1" xfId="0" applyFont="1" applyFill="1" applyBorder="1"/>
    <xf numFmtId="0" fontId="0" fillId="0" borderId="6" xfId="0" applyFill="1" applyBorder="1"/>
    <xf numFmtId="0" fontId="1" fillId="0" borderId="1" xfId="0" applyFont="1" applyFill="1" applyBorder="1" applyAlignment="1">
      <alignment vertical="center" wrapText="1"/>
    </xf>
    <xf numFmtId="0" fontId="0" fillId="0" borderId="7" xfId="0" applyFill="1" applyBorder="1"/>
    <xf numFmtId="0" fontId="5" fillId="0" borderId="0" xfId="0" quotePrefix="1" applyFont="1"/>
    <xf numFmtId="0" fontId="5" fillId="0" borderId="11" xfId="0" applyFont="1" applyBorder="1" applyAlignment="1"/>
    <xf numFmtId="0" fontId="5" fillId="0" borderId="2" xfId="0" applyFont="1" applyBorder="1"/>
    <xf numFmtId="0" fontId="5" fillId="0" borderId="4" xfId="0" applyFont="1" applyBorder="1"/>
    <xf numFmtId="0" fontId="0" fillId="0" borderId="1" xfId="0" applyFill="1" applyBorder="1" applyAlignment="1"/>
    <xf numFmtId="9" fontId="5" fillId="0" borderId="0" xfId="3" applyFont="1" applyBorder="1"/>
    <xf numFmtId="0" fontId="0" fillId="6" borderId="0" xfId="0" applyFill="1" applyBorder="1" applyAlignment="1">
      <alignment horizontal="center" wrapText="1"/>
    </xf>
    <xf numFmtId="0" fontId="0" fillId="6" borderId="0" xfId="0" applyFont="1" applyFill="1" applyBorder="1" applyAlignment="1">
      <alignment horizontal="left"/>
    </xf>
    <xf numFmtId="0" fontId="1" fillId="6" borderId="0" xfId="0" applyFont="1" applyFill="1" applyBorder="1" applyAlignment="1">
      <alignment horizontal="center"/>
    </xf>
    <xf numFmtId="0" fontId="0" fillId="0" borderId="9" xfId="0" applyFill="1" applyBorder="1"/>
    <xf numFmtId="0" fontId="0" fillId="0" borderId="6" xfId="0" applyFill="1" applyBorder="1" applyAlignment="1">
      <alignment horizontal="right"/>
    </xf>
    <xf numFmtId="0" fontId="0" fillId="24" borderId="1" xfId="0" applyFill="1" applyBorder="1" applyAlignment="1">
      <alignment horizontal="center" vertical="center" wrapText="1"/>
    </xf>
    <xf numFmtId="0" fontId="0" fillId="7" borderId="1" xfId="0" applyFill="1" applyBorder="1" applyAlignment="1" applyProtection="1">
      <alignment horizontal="right"/>
      <protection locked="0"/>
    </xf>
    <xf numFmtId="0" fontId="0" fillId="7" borderId="1" xfId="0" applyFill="1" applyBorder="1" applyProtection="1">
      <protection locked="0"/>
    </xf>
    <xf numFmtId="169" fontId="0" fillId="7" borderId="1" xfId="0" applyNumberFormat="1" applyFill="1" applyBorder="1" applyAlignment="1" applyProtection="1">
      <alignment horizontal="center" vertical="center"/>
      <protection locked="0"/>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2" xfId="0" applyFont="1" applyBorder="1"/>
    <xf numFmtId="0" fontId="5" fillId="0" borderId="1" xfId="0" applyFont="1" applyBorder="1"/>
    <xf numFmtId="168" fontId="5" fillId="0" borderId="0" xfId="0" applyNumberFormat="1" applyFont="1"/>
    <xf numFmtId="172" fontId="5" fillId="0" borderId="0" xfId="2" applyNumberFormat="1" applyFont="1"/>
    <xf numFmtId="0" fontId="0" fillId="4" borderId="10" xfId="0" applyFill="1" applyBorder="1" applyAlignment="1"/>
    <xf numFmtId="0" fontId="0" fillId="4" borderId="11" xfId="0" applyFill="1" applyBorder="1" applyAlignment="1"/>
    <xf numFmtId="0" fontId="0" fillId="4" borderId="12" xfId="0" applyFill="1" applyBorder="1" applyAlignment="1"/>
    <xf numFmtId="0" fontId="0" fillId="15" borderId="0" xfId="0" applyFill="1" applyBorder="1"/>
    <xf numFmtId="0" fontId="0" fillId="15" borderId="0" xfId="0" applyFill="1" applyBorder="1" applyAlignment="1" applyProtection="1">
      <alignment horizontal="left"/>
      <protection locked="0"/>
    </xf>
    <xf numFmtId="0" fontId="0" fillId="15" borderId="0" xfId="0" applyFill="1" applyBorder="1" applyAlignment="1">
      <alignment vertical="top"/>
    </xf>
    <xf numFmtId="0" fontId="0" fillId="15" borderId="5" xfId="0" applyFill="1" applyBorder="1"/>
    <xf numFmtId="0" fontId="0" fillId="0" borderId="11" xfId="0" applyBorder="1"/>
    <xf numFmtId="0" fontId="0" fillId="4" borderId="12" xfId="0" applyFill="1" applyBorder="1"/>
    <xf numFmtId="0" fontId="0" fillId="15" borderId="0" xfId="0" applyFill="1"/>
    <xf numFmtId="0" fontId="0" fillId="15" borderId="0" xfId="0" applyFill="1" applyBorder="1" applyAlignment="1">
      <alignment horizontal="center" vertical="top"/>
    </xf>
    <xf numFmtId="0" fontId="0" fillId="15" borderId="0" xfId="0" applyFill="1" applyBorder="1" applyAlignment="1">
      <alignment horizontal="center" wrapText="1"/>
    </xf>
    <xf numFmtId="0" fontId="0" fillId="23" borderId="13" xfId="0" applyFill="1" applyBorder="1" applyAlignment="1">
      <alignment horizontal="center" vertical="center"/>
    </xf>
    <xf numFmtId="169" fontId="0" fillId="23" borderId="15" xfId="0" applyNumberFormat="1" applyFont="1" applyFill="1" applyBorder="1" applyAlignment="1">
      <alignment horizontal="center" vertical="center"/>
    </xf>
    <xf numFmtId="0" fontId="0" fillId="15" borderId="0" xfId="0" applyFill="1" applyBorder="1" applyAlignment="1">
      <alignment horizontal="center" vertical="center" wrapText="1"/>
    </xf>
    <xf numFmtId="0" fontId="0" fillId="15" borderId="0" xfId="0" applyFill="1" applyBorder="1" applyAlignment="1">
      <alignment vertical="top" wrapText="1"/>
    </xf>
    <xf numFmtId="0" fontId="0" fillId="6" borderId="0" xfId="0" applyFill="1" applyAlignment="1">
      <alignment vertical="center"/>
    </xf>
    <xf numFmtId="0" fontId="0" fillId="0" borderId="0" xfId="0" applyFill="1" applyAlignment="1">
      <alignment vertical="center"/>
    </xf>
    <xf numFmtId="0" fontId="0" fillId="4" borderId="0" xfId="0" applyFill="1" applyAlignment="1">
      <alignment vertical="center"/>
    </xf>
    <xf numFmtId="0" fontId="0" fillId="0" borderId="0" xfId="0" applyAlignment="1">
      <alignment vertical="center"/>
    </xf>
    <xf numFmtId="3" fontId="0" fillId="0" borderId="1" xfId="0" applyNumberFormat="1" applyFill="1" applyBorder="1"/>
    <xf numFmtId="0" fontId="1" fillId="0" borderId="12" xfId="0" applyFont="1" applyFill="1" applyBorder="1"/>
    <xf numFmtId="0" fontId="1" fillId="15" borderId="0" xfId="0" applyFont="1" applyFill="1"/>
    <xf numFmtId="0" fontId="0" fillId="15" borderId="0" xfId="0" applyFill="1" applyAlignment="1"/>
    <xf numFmtId="0" fontId="1" fillId="15" borderId="0" xfId="0" applyFont="1" applyFill="1" applyBorder="1"/>
    <xf numFmtId="0" fontId="0" fillId="15" borderId="0" xfId="0" applyFill="1" applyBorder="1" applyAlignment="1"/>
    <xf numFmtId="0" fontId="2" fillId="15" borderId="0" xfId="0" applyFont="1" applyFill="1"/>
    <xf numFmtId="0" fontId="0" fillId="15" borderId="0" xfId="0" applyFont="1" applyFill="1" applyAlignment="1">
      <alignment vertical="top" wrapText="1"/>
    </xf>
    <xf numFmtId="0" fontId="38" fillId="15" borderId="0" xfId="0" applyFont="1" applyFill="1"/>
    <xf numFmtId="0" fontId="18" fillId="15" borderId="0" xfId="0" applyFont="1" applyFill="1" applyBorder="1" applyAlignment="1">
      <alignment horizontal="left" vertical="top"/>
    </xf>
    <xf numFmtId="0" fontId="18" fillId="15" borderId="0" xfId="0" applyFont="1" applyFill="1" applyBorder="1" applyAlignment="1">
      <alignment horizontal="left"/>
    </xf>
    <xf numFmtId="0" fontId="3" fillId="15" borderId="0" xfId="0" applyFont="1" applyFill="1"/>
    <xf numFmtId="0" fontId="18" fillId="15" borderId="0" xfId="0" applyFont="1" applyFill="1" applyBorder="1" applyAlignment="1">
      <alignment vertical="top"/>
    </xf>
    <xf numFmtId="0" fontId="0" fillId="15" borderId="11" xfId="0" applyFill="1" applyBorder="1" applyAlignment="1">
      <alignment horizontal="center" vertical="top" wrapText="1"/>
    </xf>
    <xf numFmtId="0" fontId="2" fillId="15" borderId="0" xfId="0" applyFont="1" applyFill="1" applyBorder="1" applyAlignment="1">
      <alignment vertical="center"/>
    </xf>
    <xf numFmtId="0" fontId="3" fillId="15" borderId="0" xfId="0" applyFont="1" applyFill="1" applyBorder="1" applyAlignment="1">
      <alignment horizontal="center" wrapText="1"/>
    </xf>
    <xf numFmtId="0" fontId="3" fillId="15" borderId="0" xfId="0" applyFont="1" applyFill="1" applyBorder="1"/>
    <xf numFmtId="0" fontId="1" fillId="15" borderId="0" xfId="0" applyFont="1" applyFill="1" applyBorder="1" applyAlignment="1">
      <alignment vertical="center"/>
    </xf>
    <xf numFmtId="0" fontId="1" fillId="15" borderId="0" xfId="0" applyFont="1" applyFill="1" applyBorder="1" applyAlignment="1">
      <alignment horizontal="left" vertical="center"/>
    </xf>
    <xf numFmtId="0" fontId="0" fillId="15" borderId="0" xfId="0" applyFill="1" applyAlignment="1">
      <alignment vertical="center"/>
    </xf>
    <xf numFmtId="0" fontId="43" fillId="15" borderId="0" xfId="0" applyFont="1" applyFill="1" applyBorder="1" applyAlignment="1">
      <alignment horizontal="center" wrapText="1"/>
    </xf>
    <xf numFmtId="170" fontId="0" fillId="15" borderId="0" xfId="0" applyNumberFormat="1" applyFill="1" applyBorder="1" applyAlignment="1">
      <alignment horizontal="center" vertical="center" wrapText="1"/>
    </xf>
    <xf numFmtId="170" fontId="1" fillId="15" borderId="0" xfId="0" applyNumberFormat="1" applyFont="1" applyFill="1" applyBorder="1" applyAlignment="1">
      <alignment horizontal="center" vertical="center" wrapText="1"/>
    </xf>
    <xf numFmtId="170" fontId="44" fillId="15" borderId="0" xfId="0" applyNumberFormat="1" applyFont="1" applyFill="1" applyBorder="1" applyAlignment="1">
      <alignment horizontal="center" vertical="center" wrapText="1"/>
    </xf>
    <xf numFmtId="0" fontId="0" fillId="15" borderId="0" xfId="0" applyFill="1" applyBorder="1" applyAlignment="1">
      <alignment vertical="center" wrapText="1"/>
    </xf>
    <xf numFmtId="0" fontId="1" fillId="15" borderId="0" xfId="0" applyFont="1" applyFill="1" applyBorder="1" applyAlignment="1">
      <alignment vertical="top"/>
    </xf>
    <xf numFmtId="0" fontId="0" fillId="15" borderId="0" xfId="0" applyFont="1" applyFill="1" applyBorder="1" applyAlignment="1">
      <alignment vertical="top"/>
    </xf>
    <xf numFmtId="0" fontId="23" fillId="15" borderId="0" xfId="0" applyFont="1" applyFill="1"/>
    <xf numFmtId="0" fontId="0" fillId="15" borderId="0" xfId="0" applyFont="1" applyFill="1"/>
    <xf numFmtId="0" fontId="0" fillId="15" borderId="0" xfId="0" applyFill="1" applyAlignment="1">
      <alignment vertical="top"/>
    </xf>
    <xf numFmtId="170" fontId="0" fillId="15" borderId="0" xfId="0" applyNumberFormat="1" applyFill="1" applyBorder="1" applyAlignment="1">
      <alignment horizontal="center" wrapText="1"/>
    </xf>
    <xf numFmtId="0" fontId="1" fillId="15" borderId="0" xfId="0" applyFont="1" applyFill="1" applyBorder="1" applyAlignment="1">
      <alignment horizontal="left"/>
    </xf>
    <xf numFmtId="1" fontId="0" fillId="15" borderId="0" xfId="0" applyNumberFormat="1" applyFill="1"/>
    <xf numFmtId="0" fontId="0" fillId="15" borderId="3" xfId="0" applyFont="1" applyFill="1" applyBorder="1" applyAlignment="1">
      <alignment horizontal="left"/>
    </xf>
    <xf numFmtId="0" fontId="0" fillId="15" borderId="0" xfId="0" applyFont="1" applyFill="1" applyBorder="1" applyAlignment="1">
      <alignment horizontal="left"/>
    </xf>
    <xf numFmtId="0" fontId="0" fillId="15" borderId="0" xfId="0" applyFont="1" applyFill="1" applyBorder="1" applyAlignment="1">
      <alignment vertical="top" wrapText="1"/>
    </xf>
    <xf numFmtId="0" fontId="0" fillId="15" borderId="0" xfId="0" applyFont="1" applyFill="1" applyBorder="1" applyAlignment="1"/>
    <xf numFmtId="0" fontId="24" fillId="15" borderId="0" xfId="0" applyFont="1" applyFill="1"/>
    <xf numFmtId="0" fontId="0" fillId="15" borderId="0" xfId="0" applyFill="1" applyAlignment="1">
      <alignment horizontal="left" indent="1"/>
    </xf>
    <xf numFmtId="0" fontId="1" fillId="15" borderId="0" xfId="0" applyFont="1" applyFill="1" applyBorder="1" applyAlignment="1">
      <alignment horizontal="left" vertical="center" indent="1"/>
    </xf>
    <xf numFmtId="0" fontId="0" fillId="15" borderId="0" xfId="0" applyFill="1" applyBorder="1" applyAlignment="1">
      <alignment horizontal="center" vertical="center"/>
    </xf>
    <xf numFmtId="165" fontId="0" fillId="15" borderId="0" xfId="2" applyNumberFormat="1" applyFont="1" applyFill="1" applyBorder="1" applyAlignment="1">
      <alignment horizontal="center"/>
    </xf>
    <xf numFmtId="0" fontId="0" fillId="2" borderId="0" xfId="0" applyFill="1" applyAlignment="1">
      <alignment horizontal="center"/>
    </xf>
    <xf numFmtId="0" fontId="0" fillId="2" borderId="0" xfId="0" applyFill="1"/>
    <xf numFmtId="0" fontId="0" fillId="2" borderId="6"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5" xfId="0" applyFill="1" applyBorder="1"/>
    <xf numFmtId="0" fontId="0" fillId="2" borderId="6" xfId="0" applyFill="1" applyBorder="1"/>
    <xf numFmtId="0" fontId="0" fillId="11" borderId="10" xfId="0" applyFill="1" applyBorder="1" applyAlignment="1">
      <alignment horizontal="center" vertical="center" wrapText="1"/>
    </xf>
    <xf numFmtId="0" fontId="0" fillId="11" borderId="12" xfId="0" applyFill="1" applyBorder="1" applyAlignment="1">
      <alignment horizontal="center" vertical="center" wrapText="1"/>
    </xf>
    <xf numFmtId="0" fontId="0" fillId="2" borderId="0" xfId="0" applyFill="1" applyAlignment="1">
      <alignment wrapText="1"/>
    </xf>
    <xf numFmtId="0" fontId="26" fillId="2" borderId="0" xfId="0" applyFont="1" applyFill="1" applyAlignment="1">
      <alignment horizontal="left" vertical="center" wrapText="1"/>
    </xf>
    <xf numFmtId="0" fontId="28" fillId="2" borderId="0" xfId="0" applyFont="1" applyFill="1" applyAlignment="1">
      <alignment horizontal="left" vertical="center" wrapText="1"/>
    </xf>
    <xf numFmtId="0" fontId="27" fillId="2" borderId="0" xfId="0" applyFont="1" applyFill="1" applyAlignment="1">
      <alignment vertical="center" wrapText="1"/>
    </xf>
    <xf numFmtId="0" fontId="27"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vertical="center" wrapText="1"/>
    </xf>
    <xf numFmtId="0" fontId="34" fillId="2" borderId="0" xfId="0" applyFont="1" applyFill="1" applyAlignment="1">
      <alignment horizontal="left" vertical="center" wrapText="1"/>
    </xf>
    <xf numFmtId="0" fontId="26" fillId="2" borderId="0" xfId="0" applyFont="1" applyFill="1" applyAlignment="1">
      <alignment vertical="center" wrapText="1"/>
    </xf>
    <xf numFmtId="0" fontId="35" fillId="2" borderId="0" xfId="0" applyFont="1" applyFill="1" applyAlignment="1">
      <alignment vertical="center" wrapText="1"/>
    </xf>
    <xf numFmtId="0" fontId="33" fillId="2" borderId="0" xfId="0" applyFont="1" applyFill="1" applyAlignment="1">
      <alignment vertical="center" wrapText="1"/>
    </xf>
    <xf numFmtId="0" fontId="1" fillId="2" borderId="0" xfId="0" applyFont="1" applyFill="1"/>
    <xf numFmtId="0" fontId="0" fillId="2" borderId="0" xfId="0" applyFill="1" applyAlignment="1"/>
    <xf numFmtId="0" fontId="4" fillId="2" borderId="0" xfId="0" applyFont="1" applyFill="1" applyBorder="1" applyAlignment="1">
      <alignment horizontal="center" vertical="center"/>
    </xf>
    <xf numFmtId="0" fontId="1" fillId="2" borderId="0" xfId="0" applyFont="1" applyFill="1" applyBorder="1"/>
    <xf numFmtId="0" fontId="0" fillId="2" borderId="0" xfId="0" applyFill="1" applyBorder="1" applyAlignment="1"/>
    <xf numFmtId="0" fontId="12" fillId="2" borderId="0" xfId="0" applyFont="1" applyFill="1" applyBorder="1" applyAlignment="1">
      <alignment horizontal="center" vertical="center"/>
    </xf>
    <xf numFmtId="170" fontId="1" fillId="2" borderId="0" xfId="0" applyNumberFormat="1" applyFont="1" applyFill="1" applyBorder="1" applyAlignment="1">
      <alignment horizontal="center"/>
    </xf>
    <xf numFmtId="1" fontId="0" fillId="2" borderId="0" xfId="0" applyNumberFormat="1" applyFill="1"/>
    <xf numFmtId="170"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horizontal="center"/>
    </xf>
    <xf numFmtId="0" fontId="0" fillId="2" borderId="0" xfId="0" applyFont="1" applyFill="1" applyBorder="1" applyAlignment="1">
      <alignment horizontal="left"/>
    </xf>
    <xf numFmtId="165" fontId="0" fillId="2" borderId="0" xfId="2" applyNumberFormat="1" applyFont="1" applyFill="1" applyBorder="1" applyAlignment="1">
      <alignment horizontal="center"/>
    </xf>
    <xf numFmtId="0" fontId="0" fillId="2" borderId="0" xfId="0" applyFont="1" applyFill="1" applyBorder="1"/>
    <xf numFmtId="0" fontId="24" fillId="2" borderId="0" xfId="0" applyFont="1" applyFill="1"/>
    <xf numFmtId="0" fontId="0" fillId="2" borderId="0" xfId="0" applyFont="1" applyFill="1" applyBorder="1" applyAlignment="1">
      <alignment vertical="top" wrapText="1"/>
    </xf>
    <xf numFmtId="0" fontId="0" fillId="2" borderId="0" xfId="0" applyFont="1" applyFill="1"/>
    <xf numFmtId="0" fontId="0" fillId="2" borderId="0" xfId="0" applyFont="1" applyFill="1" applyBorder="1" applyAlignment="1"/>
    <xf numFmtId="0" fontId="1" fillId="2" borderId="10" xfId="0" applyFont="1" applyFill="1" applyBorder="1" applyAlignment="1">
      <alignment horizontal="left" vertical="center" indent="1"/>
    </xf>
    <xf numFmtId="0" fontId="0" fillId="2" borderId="11" xfId="0" applyFill="1" applyBorder="1"/>
    <xf numFmtId="0" fontId="0" fillId="2" borderId="12" xfId="0" applyFill="1" applyBorder="1" applyAlignment="1">
      <alignment horizontal="right"/>
    </xf>
    <xf numFmtId="0" fontId="0" fillId="2" borderId="0" xfId="0" applyFill="1" applyBorder="1" applyAlignment="1">
      <alignment horizontal="right"/>
    </xf>
    <xf numFmtId="173" fontId="1" fillId="2" borderId="1" xfId="2" applyNumberFormat="1" applyFont="1" applyFill="1" applyBorder="1"/>
    <xf numFmtId="173" fontId="0" fillId="2" borderId="0" xfId="2" applyNumberFormat="1" applyFont="1" applyFill="1" applyBorder="1"/>
    <xf numFmtId="173" fontId="1" fillId="2" borderId="1" xfId="2" applyNumberFormat="1" applyFont="1" applyFill="1" applyBorder="1" applyAlignment="1">
      <alignment horizontal="center"/>
    </xf>
    <xf numFmtId="173" fontId="0" fillId="2" borderId="0" xfId="2" applyNumberFormat="1" applyFont="1" applyFill="1"/>
    <xf numFmtId="0" fontId="0" fillId="2" borderId="0" xfId="0" applyFill="1" applyAlignment="1">
      <alignment horizontal="left" indent="1"/>
    </xf>
    <xf numFmtId="0" fontId="0" fillId="2" borderId="0" xfId="0" applyFill="1" applyAlignment="1">
      <alignment horizontal="right"/>
    </xf>
    <xf numFmtId="173" fontId="1" fillId="2" borderId="0" xfId="2" applyNumberFormat="1" applyFont="1" applyFill="1" applyBorder="1"/>
    <xf numFmtId="0" fontId="1" fillId="2" borderId="0" xfId="0" applyFont="1" applyFill="1" applyBorder="1" applyAlignment="1">
      <alignment vertical="center"/>
    </xf>
    <xf numFmtId="173" fontId="0" fillId="2" borderId="0" xfId="2" applyNumberFormat="1" applyFont="1" applyFill="1" applyAlignment="1">
      <alignment horizontal="center"/>
    </xf>
    <xf numFmtId="0" fontId="1" fillId="2" borderId="10" xfId="0" applyFont="1" applyFill="1" applyBorder="1" applyAlignment="1">
      <alignment horizontal="left" indent="1"/>
    </xf>
    <xf numFmtId="0" fontId="1" fillId="2" borderId="11" xfId="0" applyFont="1" applyFill="1" applyBorder="1" applyAlignment="1">
      <alignment vertical="center"/>
    </xf>
    <xf numFmtId="173" fontId="1" fillId="2" borderId="0" xfId="2" applyNumberFormat="1" applyFont="1" applyFill="1" applyBorder="1" applyAlignment="1">
      <alignment horizontal="center"/>
    </xf>
    <xf numFmtId="0" fontId="1" fillId="2" borderId="11" xfId="0" applyFont="1" applyFill="1" applyBorder="1"/>
    <xf numFmtId="0" fontId="0" fillId="2" borderId="12" xfId="0" applyFont="1" applyFill="1" applyBorder="1" applyAlignment="1">
      <alignment horizontal="right"/>
    </xf>
    <xf numFmtId="0" fontId="0" fillId="2" borderId="0" xfId="0" applyFont="1" applyFill="1" applyBorder="1" applyAlignment="1">
      <alignment horizontal="right"/>
    </xf>
    <xf numFmtId="0" fontId="1" fillId="2" borderId="0" xfId="0" applyFont="1" applyFill="1" applyBorder="1" applyAlignment="1">
      <alignment horizontal="left" vertical="center" indent="1"/>
    </xf>
    <xf numFmtId="170" fontId="0" fillId="2" borderId="0" xfId="0" applyNumberFormat="1" applyFill="1"/>
    <xf numFmtId="0" fontId="2" fillId="2" borderId="0" xfId="0" applyFont="1" applyFill="1" applyBorder="1" applyAlignment="1">
      <alignment vertical="center"/>
    </xf>
    <xf numFmtId="0" fontId="1" fillId="2" borderId="13" xfId="0" applyFont="1" applyFill="1" applyBorder="1" applyAlignment="1">
      <alignment horizontal="center"/>
    </xf>
    <xf numFmtId="170" fontId="1" fillId="2" borderId="13" xfId="0" applyNumberFormat="1" applyFont="1" applyFill="1" applyBorder="1" applyAlignment="1">
      <alignment horizontal="center"/>
    </xf>
    <xf numFmtId="165" fontId="1" fillId="2" borderId="13" xfId="0" applyNumberFormat="1" applyFont="1" applyFill="1" applyBorder="1" applyAlignment="1">
      <alignment horizontal="center"/>
    </xf>
    <xf numFmtId="0" fontId="0" fillId="2" borderId="15" xfId="0" applyFill="1" applyBorder="1" applyAlignment="1">
      <alignment horizontal="center"/>
    </xf>
    <xf numFmtId="0" fontId="0" fillId="2" borderId="3" xfId="0" applyFont="1"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5" xfId="0" applyFont="1" applyFill="1" applyBorder="1" applyAlignment="1">
      <alignment vertical="center"/>
    </xf>
    <xf numFmtId="0" fontId="1" fillId="2" borderId="1" xfId="0" applyFont="1" applyFill="1" applyBorder="1" applyAlignment="1">
      <alignment horizontal="left" vertical="center" indent="1"/>
    </xf>
    <xf numFmtId="0" fontId="1" fillId="2" borderId="1" xfId="0" applyFont="1" applyFill="1" applyBorder="1" applyAlignment="1">
      <alignment horizontal="center"/>
    </xf>
    <xf numFmtId="0" fontId="1" fillId="2" borderId="6" xfId="0" applyFont="1" applyFill="1" applyBorder="1"/>
    <xf numFmtId="0" fontId="0" fillId="2" borderId="6" xfId="0" applyFill="1" applyBorder="1" applyAlignment="1">
      <alignment vertical="center" wrapText="1"/>
    </xf>
    <xf numFmtId="0" fontId="0" fillId="2" borderId="0" xfId="0" applyFill="1" applyBorder="1" applyAlignment="1">
      <alignment vertical="center" wrapText="1"/>
    </xf>
    <xf numFmtId="0" fontId="1" fillId="2" borderId="10" xfId="0" applyFont="1" applyFill="1" applyBorder="1" applyAlignment="1">
      <alignment horizontal="left" vertical="center" wrapText="1" indent="1"/>
    </xf>
    <xf numFmtId="0" fontId="0" fillId="2" borderId="5" xfId="0" applyFont="1" applyFill="1" applyBorder="1"/>
    <xf numFmtId="169" fontId="0" fillId="2" borderId="1" xfId="0" applyNumberFormat="1" applyFill="1" applyBorder="1" applyAlignment="1">
      <alignment horizontal="center"/>
    </xf>
    <xf numFmtId="0" fontId="0" fillId="2" borderId="6" xfId="0" applyFill="1" applyBorder="1" applyAlignment="1">
      <alignment wrapText="1"/>
    </xf>
    <xf numFmtId="0" fontId="0" fillId="2" borderId="0" xfId="0" applyFill="1" applyBorder="1" applyAlignment="1">
      <alignment wrapText="1"/>
    </xf>
    <xf numFmtId="0" fontId="0" fillId="2" borderId="10" xfId="0" applyFill="1" applyBorder="1" applyAlignment="1">
      <alignment horizontal="left" indent="1"/>
    </xf>
    <xf numFmtId="0" fontId="0" fillId="2" borderId="6" xfId="0" applyFill="1" applyBorder="1" applyAlignment="1"/>
    <xf numFmtId="0" fontId="0" fillId="2" borderId="7" xfId="0" applyFont="1" applyFill="1" applyBorder="1"/>
    <xf numFmtId="0" fontId="0" fillId="2" borderId="8" xfId="0" applyFill="1" applyBorder="1"/>
    <xf numFmtId="0" fontId="0" fillId="2" borderId="9" xfId="0" applyFill="1" applyBorder="1"/>
    <xf numFmtId="165" fontId="13" fillId="2" borderId="0" xfId="0" applyNumberFormat="1" applyFont="1" applyFill="1" applyBorder="1" applyAlignment="1">
      <alignment horizontal="center"/>
    </xf>
    <xf numFmtId="1" fontId="0" fillId="2" borderId="0" xfId="0" applyNumberFormat="1" applyFill="1" applyBorder="1" applyAlignment="1">
      <alignment horizontal="center"/>
    </xf>
    <xf numFmtId="165" fontId="1" fillId="2" borderId="0" xfId="0" applyNumberFormat="1" applyFont="1" applyFill="1" applyBorder="1" applyAlignment="1">
      <alignment horizontal="center"/>
    </xf>
    <xf numFmtId="1" fontId="0" fillId="15" borderId="0" xfId="0" applyNumberFormat="1" applyFill="1" applyBorder="1"/>
    <xf numFmtId="0" fontId="45" fillId="6" borderId="0" xfId="0" applyFont="1" applyFill="1" applyBorder="1" applyAlignment="1">
      <alignment vertical="center"/>
    </xf>
    <xf numFmtId="0" fontId="45" fillId="15" borderId="5" xfId="0" applyFont="1" applyFill="1" applyBorder="1" applyAlignment="1">
      <alignment vertical="center"/>
    </xf>
    <xf numFmtId="3" fontId="1" fillId="14" borderId="1" xfId="0" applyNumberFormat="1" applyFont="1" applyFill="1" applyBorder="1" applyAlignment="1">
      <alignment horizontal="center"/>
    </xf>
    <xf numFmtId="3" fontId="0" fillId="15" borderId="0" xfId="0" applyNumberFormat="1" applyFill="1" applyAlignment="1">
      <alignment horizontal="center"/>
    </xf>
    <xf numFmtId="3" fontId="1" fillId="16" borderId="1" xfId="0" applyNumberFormat="1" applyFont="1" applyFill="1" applyBorder="1" applyAlignment="1">
      <alignment horizontal="center"/>
    </xf>
    <xf numFmtId="3" fontId="1" fillId="15" borderId="0" xfId="0" applyNumberFormat="1" applyFont="1" applyFill="1" applyBorder="1" applyAlignment="1">
      <alignment horizontal="center"/>
    </xf>
    <xf numFmtId="0" fontId="0" fillId="26" borderId="2" xfId="0" applyFill="1" applyBorder="1" applyAlignment="1">
      <alignment horizontal="center"/>
    </xf>
    <xf numFmtId="0" fontId="0" fillId="26" borderId="3" xfId="0" applyFill="1" applyBorder="1" applyAlignment="1">
      <alignment horizontal="center"/>
    </xf>
    <xf numFmtId="0" fontId="0" fillId="26" borderId="11" xfId="0" applyFill="1" applyBorder="1"/>
    <xf numFmtId="0" fontId="0" fillId="26" borderId="4" xfId="0" applyFill="1" applyBorder="1" applyAlignment="1">
      <alignment horizontal="center" wrapText="1"/>
    </xf>
    <xf numFmtId="0" fontId="0" fillId="26" borderId="6" xfId="0" applyFill="1" applyBorder="1" applyAlignment="1">
      <alignment horizontal="center" wrapText="1"/>
    </xf>
    <xf numFmtId="170" fontId="0" fillId="26" borderId="6" xfId="0" applyNumberFormat="1" applyFill="1" applyBorder="1" applyAlignment="1">
      <alignment vertical="center" wrapText="1"/>
    </xf>
    <xf numFmtId="0" fontId="0" fillId="26" borderId="6" xfId="0" applyFill="1" applyBorder="1" applyAlignment="1">
      <alignment horizontal="center" vertical="center" wrapText="1"/>
    </xf>
    <xf numFmtId="0" fontId="0" fillId="26" borderId="5" xfId="0" applyFill="1" applyBorder="1"/>
    <xf numFmtId="0" fontId="0" fillId="26" borderId="0" xfId="0" applyFill="1" applyBorder="1" applyAlignment="1">
      <alignment horizontal="left"/>
    </xf>
    <xf numFmtId="0" fontId="0" fillId="26" borderId="0" xfId="0" applyFill="1" applyBorder="1"/>
    <xf numFmtId="170" fontId="1" fillId="26" borderId="0" xfId="0" applyNumberFormat="1" applyFont="1" applyFill="1" applyBorder="1" applyAlignment="1">
      <alignment vertical="center" wrapText="1"/>
    </xf>
    <xf numFmtId="0" fontId="0" fillId="26" borderId="5" xfId="0" applyFill="1" applyBorder="1" applyAlignment="1">
      <alignment vertical="top"/>
    </xf>
    <xf numFmtId="0" fontId="0" fillId="26" borderId="5" xfId="0" applyFill="1" applyBorder="1" applyAlignment="1">
      <alignment vertical="center"/>
    </xf>
    <xf numFmtId="0" fontId="44" fillId="26" borderId="2" xfId="0" applyFont="1" applyFill="1" applyBorder="1" applyAlignment="1">
      <alignment horizontal="center"/>
    </xf>
    <xf numFmtId="0" fontId="44" fillId="26" borderId="3" xfId="0" applyFont="1" applyFill="1" applyBorder="1" applyAlignment="1">
      <alignment horizontal="center"/>
    </xf>
    <xf numFmtId="0" fontId="43" fillId="26" borderId="3" xfId="0" applyFont="1" applyFill="1" applyBorder="1" applyAlignment="1">
      <alignment horizontal="center" wrapText="1"/>
    </xf>
    <xf numFmtId="0" fontId="43" fillId="26" borderId="4" xfId="0" applyFont="1" applyFill="1" applyBorder="1" applyAlignment="1">
      <alignment horizontal="center" wrapText="1"/>
    </xf>
    <xf numFmtId="0" fontId="43" fillId="26" borderId="5" xfId="0" applyFont="1" applyFill="1" applyBorder="1" applyAlignment="1">
      <alignment vertical="top"/>
    </xf>
    <xf numFmtId="0" fontId="43" fillId="26" borderId="5" xfId="0" applyFont="1" applyFill="1" applyBorder="1"/>
    <xf numFmtId="0" fontId="43" fillId="26" borderId="7" xfId="0" applyFont="1" applyFill="1" applyBorder="1"/>
    <xf numFmtId="0" fontId="43" fillId="26" borderId="8" xfId="0" applyFont="1" applyFill="1" applyBorder="1" applyAlignment="1">
      <alignment horizontal="center" vertical="center"/>
    </xf>
    <xf numFmtId="0" fontId="43" fillId="26" borderId="8" xfId="0" applyFont="1" applyFill="1" applyBorder="1" applyAlignment="1">
      <alignment vertical="center" wrapText="1"/>
    </xf>
    <xf numFmtId="170" fontId="44" fillId="26" borderId="8" xfId="0" applyNumberFormat="1" applyFont="1" applyFill="1" applyBorder="1" applyAlignment="1">
      <alignment horizontal="center" vertical="center" wrapText="1"/>
    </xf>
    <xf numFmtId="170" fontId="44" fillId="26" borderId="9" xfId="0" applyNumberFormat="1" applyFont="1" applyFill="1" applyBorder="1" applyAlignment="1">
      <alignment horizontal="center" vertical="center" wrapText="1"/>
    </xf>
    <xf numFmtId="0" fontId="43" fillId="26" borderId="6" xfId="0" applyFont="1" applyFill="1" applyBorder="1" applyAlignment="1">
      <alignment horizontal="center" vertical="center" wrapText="1"/>
    </xf>
    <xf numFmtId="170" fontId="43" fillId="26" borderId="6" xfId="0" applyNumberFormat="1" applyFont="1" applyFill="1" applyBorder="1" applyAlignment="1">
      <alignment horizontal="center" vertical="center" wrapText="1"/>
    </xf>
    <xf numFmtId="170" fontId="44" fillId="26" borderId="6" xfId="0" applyNumberFormat="1" applyFont="1" applyFill="1" applyBorder="1" applyAlignment="1">
      <alignment horizontal="center" vertical="center" wrapText="1"/>
    </xf>
    <xf numFmtId="0" fontId="0" fillId="26" borderId="3" xfId="0" applyFill="1" applyBorder="1" applyAlignment="1">
      <alignment horizontal="center" wrapText="1"/>
    </xf>
    <xf numFmtId="0" fontId="0" fillId="26" borderId="6" xfId="0" applyFill="1" applyBorder="1"/>
    <xf numFmtId="0" fontId="0" fillId="26" borderId="9" xfId="0" applyFill="1" applyBorder="1"/>
    <xf numFmtId="0" fontId="0" fillId="26" borderId="2" xfId="0" applyFill="1" applyBorder="1" applyAlignment="1">
      <alignment horizontal="center" vertical="top"/>
    </xf>
    <xf numFmtId="0" fontId="0" fillId="26" borderId="3" xfId="0" applyFill="1" applyBorder="1" applyAlignment="1">
      <alignment horizontal="center" vertical="top"/>
    </xf>
    <xf numFmtId="0" fontId="0" fillId="26" borderId="5" xfId="0" applyFill="1" applyBorder="1" applyAlignment="1">
      <alignment horizontal="center" vertical="top"/>
    </xf>
    <xf numFmtId="0" fontId="0" fillId="26" borderId="7" xfId="0" applyFill="1" applyBorder="1" applyAlignment="1">
      <alignment horizontal="center" wrapText="1"/>
    </xf>
    <xf numFmtId="0" fontId="0" fillId="26" borderId="8" xfId="0" applyFill="1" applyBorder="1" applyAlignment="1">
      <alignment horizontal="center" wrapText="1"/>
    </xf>
    <xf numFmtId="0" fontId="0" fillId="15" borderId="0" xfId="0" applyFill="1" applyBorder="1" applyAlignment="1" applyProtection="1">
      <protection locked="0"/>
    </xf>
    <xf numFmtId="0" fontId="0" fillId="15" borderId="0" xfId="0" applyFill="1" applyBorder="1" applyAlignment="1" applyProtection="1">
      <alignment vertical="top"/>
      <protection locked="0"/>
    </xf>
    <xf numFmtId="0" fontId="0" fillId="11" borderId="13" xfId="0" applyFont="1" applyFill="1" applyBorder="1" applyAlignment="1">
      <alignment horizontal="center" vertical="center"/>
    </xf>
    <xf numFmtId="169" fontId="0" fillId="11" borderId="15" xfId="0" applyNumberFormat="1" applyFont="1" applyFill="1" applyBorder="1" applyAlignment="1" applyProtection="1">
      <alignment horizontal="center" vertical="center"/>
      <protection locked="0"/>
    </xf>
    <xf numFmtId="170" fontId="0" fillId="15" borderId="0" xfId="0" applyNumberFormat="1" applyFont="1" applyFill="1" applyBorder="1" applyAlignment="1">
      <alignment vertical="center" wrapText="1"/>
    </xf>
    <xf numFmtId="170" fontId="0" fillId="16" borderId="13" xfId="0" applyNumberFormat="1" applyFont="1" applyFill="1" applyBorder="1" applyAlignment="1">
      <alignment horizontal="center" vertical="center" wrapText="1"/>
    </xf>
    <xf numFmtId="170" fontId="0" fillId="14" borderId="13" xfId="0" applyNumberFormat="1" applyFont="1" applyFill="1" applyBorder="1" applyAlignment="1">
      <alignment horizontal="center" vertical="center" wrapText="1"/>
    </xf>
    <xf numFmtId="0" fontId="5" fillId="2" borderId="0" xfId="0" applyFont="1" applyFill="1"/>
    <xf numFmtId="0" fontId="5" fillId="0" borderId="0" xfId="2" applyNumberFormat="1" applyFont="1" applyAlignment="1">
      <alignment horizontal="right"/>
    </xf>
    <xf numFmtId="0" fontId="0" fillId="0" borderId="0" xfId="0" applyAlignment="1">
      <alignment horizontal="center"/>
    </xf>
    <xf numFmtId="1" fontId="0" fillId="0" borderId="0" xfId="0" applyNumberFormat="1"/>
    <xf numFmtId="171" fontId="5" fillId="0" borderId="0" xfId="0" applyNumberFormat="1" applyFont="1" applyFill="1"/>
    <xf numFmtId="0" fontId="46" fillId="2" borderId="0" xfId="4" applyFill="1"/>
    <xf numFmtId="0" fontId="0" fillId="2" borderId="1" xfId="0" applyFill="1" applyBorder="1" applyAlignment="1">
      <alignment horizontal="left" indent="1"/>
    </xf>
    <xf numFmtId="0" fontId="0" fillId="2" borderId="0" xfId="0" applyFill="1" applyBorder="1" applyAlignment="1">
      <alignment horizontal="center" vertical="center"/>
    </xf>
    <xf numFmtId="0" fontId="0" fillId="2" borderId="0" xfId="0" applyFill="1" applyBorder="1" applyAlignment="1">
      <alignment horizontal="left" vertical="top" wrapText="1"/>
    </xf>
    <xf numFmtId="0" fontId="0" fillId="15" borderId="0" xfId="0" applyFill="1" applyBorder="1" applyAlignment="1">
      <alignment horizontal="left" vertical="top" wrapText="1"/>
    </xf>
    <xf numFmtId="0" fontId="0" fillId="15" borderId="0" xfId="0" applyFill="1" applyBorder="1" applyAlignment="1">
      <alignment horizontal="left" vertical="top"/>
    </xf>
    <xf numFmtId="0" fontId="0" fillId="23" borderId="1" xfId="0" applyFill="1" applyBorder="1" applyAlignment="1">
      <alignment horizontal="center" vertical="center" wrapText="1"/>
    </xf>
    <xf numFmtId="0" fontId="5" fillId="0" borderId="0" xfId="0" applyFont="1" applyAlignment="1">
      <alignment horizontal="center"/>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Alignment="1">
      <alignment horizontal="center" vertical="top" wrapText="1"/>
    </xf>
    <xf numFmtId="0" fontId="0" fillId="3" borderId="0" xfId="0" applyFont="1" applyFill="1" applyAlignment="1">
      <alignment horizontal="left" vertical="top" wrapText="1"/>
    </xf>
    <xf numFmtId="170" fontId="1" fillId="14" borderId="1" xfId="0" applyNumberFormat="1" applyFont="1" applyFill="1" applyBorder="1" applyAlignment="1">
      <alignment horizontal="center"/>
    </xf>
    <xf numFmtId="9" fontId="0" fillId="7" borderId="1" xfId="3" applyFont="1" applyFill="1" applyBorder="1" applyAlignment="1" applyProtection="1">
      <alignment horizontal="center" vertical="center"/>
      <protection locked="0"/>
    </xf>
    <xf numFmtId="2" fontId="5" fillId="0" borderId="0" xfId="0" applyNumberFormat="1" applyFont="1" applyBorder="1" applyAlignment="1">
      <alignment horizontal="right"/>
    </xf>
    <xf numFmtId="0" fontId="5" fillId="3" borderId="2" xfId="0" applyFont="1" applyFill="1" applyBorder="1"/>
    <xf numFmtId="0" fontId="5" fillId="3" borderId="0" xfId="0" applyFont="1" applyFill="1" applyBorder="1"/>
    <xf numFmtId="174" fontId="0" fillId="7" borderId="1" xfId="2" applyNumberFormat="1" applyFont="1" applyFill="1" applyBorder="1" applyAlignment="1" applyProtection="1">
      <alignment horizontal="center" vertical="center"/>
      <protection locked="0"/>
    </xf>
    <xf numFmtId="0" fontId="5" fillId="0" borderId="8" xfId="0" applyFont="1" applyBorder="1"/>
    <xf numFmtId="0" fontId="5" fillId="0" borderId="0" xfId="0" applyFont="1"/>
    <xf numFmtId="0" fontId="5" fillId="12" borderId="0" xfId="0" applyFont="1" applyFill="1"/>
    <xf numFmtId="0" fontId="5" fillId="0" borderId="0" xfId="0" applyFont="1" applyBorder="1"/>
    <xf numFmtId="1" fontId="5" fillId="0" borderId="0" xfId="0" applyNumberFormat="1" applyFont="1" applyBorder="1"/>
    <xf numFmtId="0" fontId="5" fillId="0" borderId="11" xfId="0" applyFont="1" applyBorder="1"/>
    <xf numFmtId="2" fontId="5" fillId="0" borderId="0" xfId="0" applyNumberFormat="1" applyFont="1" applyBorder="1"/>
    <xf numFmtId="165" fontId="5" fillId="0" borderId="0" xfId="0" applyNumberFormat="1" applyFont="1" applyBorder="1"/>
    <xf numFmtId="0" fontId="5" fillId="4" borderId="1" xfId="0" applyFont="1" applyFill="1" applyBorder="1"/>
    <xf numFmtId="0" fontId="5" fillId="3" borderId="0" xfId="0" applyFont="1" applyFill="1"/>
    <xf numFmtId="0" fontId="5" fillId="3" borderId="0" xfId="0" quotePrefix="1" applyFont="1" applyFill="1"/>
    <xf numFmtId="0" fontId="5" fillId="3" borderId="1" xfId="0" applyFont="1" applyFill="1" applyBorder="1"/>
    <xf numFmtId="0" fontId="5" fillId="0" borderId="0" xfId="0" applyNumberFormat="1" applyFont="1" applyBorder="1"/>
    <xf numFmtId="0" fontId="0" fillId="11" borderId="1" xfId="0" applyFill="1" applyBorder="1" applyAlignment="1">
      <alignment horizontal="center" vertical="center" wrapText="1"/>
    </xf>
    <xf numFmtId="0" fontId="5" fillId="0" borderId="0" xfId="0" applyFont="1" applyBorder="1" applyAlignment="1">
      <alignment horizontal="center" vertical="top" wrapText="1"/>
    </xf>
    <xf numFmtId="0" fontId="5" fillId="0" borderId="5" xfId="0" applyFont="1" applyBorder="1"/>
    <xf numFmtId="0" fontId="5" fillId="0" borderId="6" xfId="0" applyFont="1" applyBorder="1"/>
    <xf numFmtId="0" fontId="5" fillId="0" borderId="11" xfId="0" applyFont="1" applyBorder="1" applyAlignment="1"/>
    <xf numFmtId="169" fontId="0" fillId="7" borderId="1" xfId="0" applyNumberFormat="1" applyFill="1" applyBorder="1" applyAlignment="1" applyProtection="1">
      <alignment horizontal="center" vertical="center"/>
      <protection locked="0"/>
    </xf>
    <xf numFmtId="0" fontId="0" fillId="15" borderId="0" xfId="0" applyFill="1" applyBorder="1" applyAlignment="1">
      <alignment horizontal="center" wrapText="1"/>
    </xf>
    <xf numFmtId="173" fontId="0" fillId="7" borderId="1" xfId="2" applyNumberFormat="1" applyFont="1" applyFill="1" applyBorder="1" applyAlignment="1" applyProtection="1">
      <alignment horizontal="center" vertical="center"/>
      <protection locked="0"/>
    </xf>
    <xf numFmtId="0" fontId="0" fillId="15" borderId="0" xfId="0" applyFill="1" applyBorder="1" applyAlignment="1">
      <alignment horizontal="center" vertical="center" wrapText="1"/>
    </xf>
    <xf numFmtId="0" fontId="0" fillId="15" borderId="0" xfId="0" applyFill="1" applyBorder="1" applyAlignment="1">
      <alignment horizontal="center" vertical="center"/>
    </xf>
    <xf numFmtId="0" fontId="0" fillId="23" borderId="1" xfId="0" applyFill="1" applyBorder="1" applyAlignment="1">
      <alignment horizontal="center" vertical="center" wrapText="1"/>
    </xf>
    <xf numFmtId="0" fontId="0" fillId="11" borderId="10" xfId="0" applyFill="1" applyBorder="1" applyAlignment="1">
      <alignment horizontal="center" vertical="center" wrapText="1"/>
    </xf>
    <xf numFmtId="0" fontId="0" fillId="22" borderId="10" xfId="0" applyFill="1" applyBorder="1" applyAlignment="1">
      <alignment horizontal="center" vertical="center" wrapText="1"/>
    </xf>
    <xf numFmtId="0" fontId="0" fillId="26" borderId="5" xfId="0" applyFill="1" applyBorder="1"/>
    <xf numFmtId="0" fontId="0" fillId="26" borderId="6" xfId="0" applyFill="1" applyBorder="1"/>
    <xf numFmtId="168" fontId="0" fillId="7" borderId="1" xfId="2" applyNumberFormat="1" applyFont="1" applyFill="1" applyBorder="1" applyAlignment="1" applyProtection="1">
      <alignment horizontal="center" vertical="center"/>
      <protection locked="0"/>
    </xf>
    <xf numFmtId="168" fontId="0" fillId="7" borderId="14" xfId="2" applyNumberFormat="1" applyFont="1" applyFill="1" applyBorder="1" applyAlignment="1" applyProtection="1">
      <alignment horizontal="center" vertical="center"/>
      <protection locked="0"/>
    </xf>
    <xf numFmtId="168" fontId="1" fillId="23" borderId="14" xfId="0" applyNumberFormat="1" applyFont="1" applyFill="1" applyBorder="1" applyAlignment="1">
      <alignment horizontal="center" vertical="center"/>
    </xf>
    <xf numFmtId="168" fontId="0" fillId="7" borderId="2" xfId="2" applyNumberFormat="1" applyFont="1" applyFill="1" applyBorder="1" applyAlignment="1" applyProtection="1">
      <alignment horizontal="center" vertical="top"/>
      <protection locked="0"/>
    </xf>
    <xf numFmtId="168" fontId="0" fillId="7" borderId="14" xfId="2" applyNumberFormat="1" applyFont="1" applyFill="1" applyBorder="1" applyAlignment="1" applyProtection="1">
      <alignment horizontal="center" vertical="top"/>
      <protection locked="0"/>
    </xf>
    <xf numFmtId="168" fontId="1" fillId="11" borderId="14" xfId="0" applyNumberFormat="1" applyFont="1" applyFill="1" applyBorder="1" applyAlignment="1">
      <alignment horizontal="center" vertical="center"/>
    </xf>
    <xf numFmtId="168" fontId="1" fillId="11" borderId="14" xfId="0" applyNumberFormat="1" applyFont="1" applyFill="1" applyBorder="1" applyAlignment="1" applyProtection="1">
      <alignment horizontal="center" vertical="center"/>
    </xf>
    <xf numFmtId="168" fontId="0" fillId="23" borderId="1" xfId="2" applyNumberFormat="1" applyFont="1" applyFill="1" applyBorder="1" applyAlignment="1">
      <alignment horizontal="center" vertical="center"/>
    </xf>
    <xf numFmtId="0" fontId="0" fillId="27" borderId="16" xfId="0" applyFill="1" applyBorder="1"/>
    <xf numFmtId="0" fontId="0" fillId="27" borderId="20" xfId="0" applyFill="1" applyBorder="1"/>
    <xf numFmtId="0" fontId="0" fillId="27" borderId="18" xfId="0" applyFill="1" applyBorder="1"/>
    <xf numFmtId="0" fontId="0" fillId="27" borderId="21" xfId="0" applyFill="1" applyBorder="1"/>
    <xf numFmtId="0" fontId="47" fillId="26" borderId="2" xfId="0" applyFont="1" applyFill="1" applyBorder="1"/>
    <xf numFmtId="0" fontId="48" fillId="26" borderId="3" xfId="0" applyFont="1" applyFill="1" applyBorder="1"/>
    <xf numFmtId="0" fontId="48" fillId="26" borderId="4" xfId="0" applyFont="1" applyFill="1" applyBorder="1"/>
    <xf numFmtId="0" fontId="0" fillId="26" borderId="6" xfId="0" applyFill="1" applyBorder="1" applyAlignment="1" applyProtection="1">
      <protection locked="0"/>
    </xf>
    <xf numFmtId="0" fontId="0" fillId="26" borderId="6" xfId="0" applyFill="1" applyBorder="1" applyAlignment="1" applyProtection="1">
      <alignment vertical="top"/>
      <protection locked="0"/>
    </xf>
    <xf numFmtId="0" fontId="0" fillId="26" borderId="9" xfId="0" applyFill="1" applyBorder="1" applyAlignment="1" applyProtection="1">
      <alignment horizontal="left"/>
      <protection locked="0"/>
    </xf>
    <xf numFmtId="0" fontId="0" fillId="26" borderId="7" xfId="0" applyFill="1" applyBorder="1"/>
    <xf numFmtId="0" fontId="0" fillId="26" borderId="8" xfId="0" applyFill="1" applyBorder="1"/>
    <xf numFmtId="0" fontId="0" fillId="26" borderId="8" xfId="0" applyFill="1" applyBorder="1" applyAlignment="1" applyProtection="1">
      <alignment horizontal="left"/>
      <protection locked="0"/>
    </xf>
    <xf numFmtId="0" fontId="0" fillId="26" borderId="2" xfId="0" applyFill="1" applyBorder="1"/>
    <xf numFmtId="0" fontId="0" fillId="26" borderId="3" xfId="0" applyFill="1" applyBorder="1"/>
    <xf numFmtId="0" fontId="0" fillId="26" borderId="3" xfId="0" applyFill="1" applyBorder="1" applyAlignment="1" applyProtection="1">
      <alignment horizontal="left"/>
      <protection locked="0"/>
    </xf>
    <xf numFmtId="0" fontId="0" fillId="26" borderId="4" xfId="0" applyFill="1" applyBorder="1" applyAlignment="1" applyProtection="1">
      <alignment horizontal="left"/>
      <protection locked="0"/>
    </xf>
    <xf numFmtId="0" fontId="0" fillId="26" borderId="9" xfId="0" applyFill="1" applyBorder="1" applyAlignment="1">
      <alignment horizontal="right"/>
    </xf>
    <xf numFmtId="0" fontId="0" fillId="26" borderId="6" xfId="0" applyFill="1" applyBorder="1" applyAlignment="1">
      <alignment horizontal="right"/>
    </xf>
    <xf numFmtId="0" fontId="48" fillId="26" borderId="11" xfId="0" applyFont="1" applyFill="1" applyBorder="1" applyAlignment="1">
      <alignment horizontal="right"/>
    </xf>
    <xf numFmtId="0" fontId="0" fillId="26" borderId="0" xfId="0" applyFill="1"/>
    <xf numFmtId="168" fontId="0" fillId="15" borderId="0" xfId="2" applyNumberFormat="1" applyFont="1" applyFill="1" applyBorder="1" applyAlignment="1" applyProtection="1">
      <alignment horizontal="center" vertical="center"/>
      <protection locked="0"/>
    </xf>
    <xf numFmtId="168" fontId="1" fillId="15" borderId="0" xfId="0" applyNumberFormat="1" applyFont="1" applyFill="1" applyBorder="1" applyAlignment="1">
      <alignment horizontal="center" vertical="center"/>
    </xf>
    <xf numFmtId="0" fontId="0" fillId="23" borderId="1" xfId="0" applyFill="1" applyBorder="1" applyAlignment="1" applyProtection="1">
      <alignment horizontal="center" vertical="center" wrapText="1"/>
      <protection locked="0"/>
    </xf>
    <xf numFmtId="164" fontId="0" fillId="7" borderId="1" xfId="2" applyFont="1" applyFill="1" applyBorder="1" applyAlignment="1" applyProtection="1">
      <alignment horizontal="center" vertical="center"/>
      <protection locked="0"/>
    </xf>
    <xf numFmtId="168" fontId="1" fillId="23" borderId="14" xfId="0" applyNumberFormat="1" applyFont="1" applyFill="1" applyBorder="1" applyAlignment="1">
      <alignment horizontal="center" vertical="center" wrapText="1"/>
    </xf>
    <xf numFmtId="0" fontId="0" fillId="23" borderId="13" xfId="0" applyFont="1" applyFill="1" applyBorder="1" applyAlignment="1">
      <alignment horizontal="center" vertical="center" wrapText="1"/>
    </xf>
    <xf numFmtId="0" fontId="1" fillId="28" borderId="2" xfId="0" applyFont="1" applyFill="1" applyBorder="1" applyAlignment="1"/>
    <xf numFmtId="0" fontId="1" fillId="28" borderId="3" xfId="0" applyFont="1" applyFill="1" applyBorder="1" applyAlignment="1"/>
    <xf numFmtId="0" fontId="0" fillId="28" borderId="3" xfId="0" applyFill="1" applyBorder="1" applyAlignment="1">
      <alignment horizontal="center" wrapText="1"/>
    </xf>
    <xf numFmtId="0" fontId="0" fillId="28" borderId="4" xfId="0" applyFill="1" applyBorder="1" applyAlignment="1">
      <alignment horizontal="center" wrapText="1"/>
    </xf>
    <xf numFmtId="0" fontId="0" fillId="28" borderId="6" xfId="0" applyFill="1" applyBorder="1" applyAlignment="1">
      <alignment horizontal="center" wrapText="1"/>
    </xf>
    <xf numFmtId="0" fontId="0" fillId="28" borderId="5" xfId="0" applyFill="1" applyBorder="1" applyAlignment="1">
      <alignment vertical="top"/>
    </xf>
    <xf numFmtId="0" fontId="0" fillId="28" borderId="5" xfId="0" applyFill="1" applyBorder="1"/>
    <xf numFmtId="0" fontId="0" fillId="28" borderId="2" xfId="0" applyFill="1" applyBorder="1"/>
    <xf numFmtId="0" fontId="0" fillId="28" borderId="3" xfId="0" applyFill="1" applyBorder="1"/>
    <xf numFmtId="9" fontId="1" fillId="27" borderId="3" xfId="3" applyFont="1" applyFill="1" applyBorder="1" applyAlignment="1" applyProtection="1">
      <alignment horizontal="center" vertical="center"/>
    </xf>
    <xf numFmtId="169" fontId="0" fillId="27" borderId="0" xfId="0" applyNumberFormat="1" applyFont="1" applyFill="1" applyBorder="1" applyAlignment="1" applyProtection="1">
      <alignment horizontal="center" vertical="center"/>
      <protection locked="0"/>
    </xf>
    <xf numFmtId="0" fontId="0" fillId="28" borderId="11" xfId="0" applyFill="1" applyBorder="1"/>
    <xf numFmtId="0" fontId="0" fillId="28" borderId="11" xfId="0" applyFill="1" applyBorder="1" applyAlignment="1">
      <alignment horizontal="center" wrapText="1"/>
    </xf>
    <xf numFmtId="0" fontId="0" fillId="28" borderId="6" xfId="0" applyFill="1" applyBorder="1" applyAlignment="1">
      <alignment horizontal="center" vertical="center" wrapText="1"/>
    </xf>
    <xf numFmtId="170" fontId="0" fillId="28" borderId="6" xfId="0" applyNumberFormat="1" applyFill="1" applyBorder="1" applyAlignment="1">
      <alignment horizontal="center" wrapText="1"/>
    </xf>
    <xf numFmtId="170" fontId="1" fillId="28" borderId="6" xfId="0" applyNumberFormat="1" applyFont="1" applyFill="1" applyBorder="1" applyAlignment="1">
      <alignment horizontal="center" vertical="center" wrapText="1"/>
    </xf>
    <xf numFmtId="0" fontId="0" fillId="28" borderId="2" xfId="0" applyFill="1" applyBorder="1" applyAlignment="1"/>
    <xf numFmtId="0" fontId="0" fillId="28" borderId="3" xfId="0" applyFill="1" applyBorder="1" applyAlignment="1"/>
    <xf numFmtId="0" fontId="0" fillId="28" borderId="11" xfId="0" applyFill="1" applyBorder="1" applyAlignment="1"/>
    <xf numFmtId="0" fontId="0" fillId="6" borderId="2" xfId="0" applyFill="1" applyBorder="1"/>
    <xf numFmtId="0" fontId="0" fillId="6" borderId="3" xfId="0" applyFill="1" applyBorder="1"/>
    <xf numFmtId="0" fontId="0" fillId="6" borderId="4" xfId="0" applyFill="1" applyBorder="1"/>
    <xf numFmtId="0" fontId="0" fillId="6" borderId="5" xfId="0" applyFill="1" applyBorder="1" applyAlignment="1">
      <alignment vertical="center" wrapText="1"/>
    </xf>
    <xf numFmtId="0" fontId="0" fillId="6" borderId="5" xfId="0" applyFill="1" applyBorder="1" applyAlignment="1">
      <alignment wrapText="1"/>
    </xf>
    <xf numFmtId="0" fontId="0" fillId="6" borderId="7"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6" xfId="0" applyFill="1" applyBorder="1" applyAlignment="1">
      <alignment vertical="center" wrapText="1"/>
    </xf>
    <xf numFmtId="0" fontId="0" fillId="6" borderId="6" xfId="0" applyFill="1" applyBorder="1" applyAlignment="1"/>
    <xf numFmtId="168" fontId="0" fillId="22" borderId="1" xfId="2" applyNumberFormat="1" applyFont="1" applyFill="1" applyBorder="1" applyAlignment="1" applyProtection="1">
      <alignment horizontal="center" vertical="center"/>
    </xf>
    <xf numFmtId="168" fontId="1" fillId="22" borderId="14" xfId="0" applyNumberFormat="1" applyFont="1" applyFill="1" applyBorder="1" applyAlignment="1">
      <alignment horizontal="center" vertical="center"/>
    </xf>
    <xf numFmtId="0" fontId="0" fillId="22" borderId="13" xfId="0" applyFill="1" applyBorder="1" applyAlignment="1">
      <alignment horizontal="center" vertical="center"/>
    </xf>
    <xf numFmtId="174" fontId="0" fillId="7" borderId="13" xfId="2" applyNumberFormat="1" applyFont="1" applyFill="1" applyBorder="1" applyAlignment="1" applyProtection="1">
      <alignment horizontal="center" vertical="center"/>
      <protection locked="0"/>
    </xf>
    <xf numFmtId="164" fontId="0" fillId="7" borderId="13" xfId="2" applyFont="1" applyFill="1" applyBorder="1" applyAlignment="1" applyProtection="1">
      <alignment horizontal="center" vertical="center"/>
      <protection locked="0"/>
    </xf>
    <xf numFmtId="0" fontId="0" fillId="11" borderId="13" xfId="0" applyFill="1" applyBorder="1" applyAlignment="1">
      <alignment horizontal="center" vertical="center"/>
    </xf>
    <xf numFmtId="0" fontId="16" fillId="7" borderId="10" xfId="0" applyFont="1" applyFill="1" applyBorder="1" applyAlignment="1" applyProtection="1">
      <alignment horizontal="center" vertical="center"/>
      <protection locked="0"/>
    </xf>
    <xf numFmtId="0" fontId="8" fillId="0" borderId="11" xfId="0" applyFont="1" applyBorder="1"/>
    <xf numFmtId="0" fontId="49" fillId="27" borderId="8" xfId="0" applyFont="1" applyFill="1" applyBorder="1" applyAlignment="1">
      <alignment horizontal="center"/>
    </xf>
    <xf numFmtId="0" fontId="49" fillId="27" borderId="1" xfId="0" applyFont="1" applyFill="1" applyBorder="1" applyAlignment="1">
      <alignment horizontal="center"/>
    </xf>
    <xf numFmtId="0" fontId="0" fillId="28" borderId="6" xfId="0" applyFill="1" applyBorder="1"/>
    <xf numFmtId="170" fontId="1" fillId="29" borderId="1" xfId="0" applyNumberFormat="1" applyFont="1" applyFill="1" applyBorder="1" applyAlignment="1">
      <alignment horizontal="center"/>
    </xf>
    <xf numFmtId="168" fontId="1" fillId="29" borderId="1" xfId="0" applyNumberFormat="1" applyFont="1" applyFill="1" applyBorder="1" applyAlignment="1">
      <alignment horizontal="center"/>
    </xf>
    <xf numFmtId="0" fontId="0" fillId="29" borderId="13" xfId="0" applyFont="1" applyFill="1" applyBorder="1" applyAlignment="1">
      <alignment horizontal="center"/>
    </xf>
    <xf numFmtId="168" fontId="0" fillId="15" borderId="0" xfId="2" applyNumberFormat="1" applyFont="1" applyFill="1" applyBorder="1" applyAlignment="1">
      <alignment vertical="center" wrapText="1"/>
    </xf>
    <xf numFmtId="169" fontId="1" fillId="15" borderId="0" xfId="0" applyNumberFormat="1" applyFont="1" applyFill="1" applyBorder="1" applyAlignment="1">
      <alignment vertical="center" wrapText="1"/>
    </xf>
    <xf numFmtId="3" fontId="0" fillId="0" borderId="14" xfId="0" applyNumberFormat="1" applyFill="1" applyBorder="1"/>
    <xf numFmtId="3" fontId="50" fillId="0" borderId="25" xfId="0" applyNumberFormat="1" applyFont="1" applyFill="1" applyBorder="1"/>
    <xf numFmtId="0" fontId="0" fillId="26" borderId="4" xfId="0" applyFill="1" applyBorder="1"/>
    <xf numFmtId="0" fontId="1" fillId="26" borderId="6" xfId="0" applyFont="1" applyFill="1" applyBorder="1"/>
    <xf numFmtId="0" fontId="0" fillId="26" borderId="7" xfId="0" applyFont="1" applyFill="1" applyBorder="1"/>
    <xf numFmtId="0" fontId="0" fillId="26" borderId="5" xfId="0" applyFont="1" applyFill="1" applyBorder="1" applyAlignment="1">
      <alignment vertical="center"/>
    </xf>
    <xf numFmtId="0" fontId="0" fillId="26" borderId="5" xfId="0" applyFont="1" applyFill="1" applyBorder="1"/>
    <xf numFmtId="170" fontId="0" fillId="7" borderId="13" xfId="0" applyNumberFormat="1" applyFont="1" applyFill="1" applyBorder="1" applyAlignment="1">
      <alignment horizontal="center" vertical="center" wrapText="1"/>
    </xf>
    <xf numFmtId="168" fontId="1" fillId="7" borderId="1" xfId="0" applyNumberFormat="1" applyFont="1" applyFill="1" applyBorder="1"/>
    <xf numFmtId="3" fontId="1" fillId="7" borderId="1" xfId="0" applyNumberFormat="1" applyFont="1" applyFill="1" applyBorder="1"/>
    <xf numFmtId="169" fontId="1" fillId="7" borderId="1" xfId="0" applyNumberFormat="1" applyFont="1" applyFill="1" applyBorder="1"/>
    <xf numFmtId="0" fontId="0" fillId="4" borderId="0" xfId="0" applyFill="1" applyAlignment="1">
      <alignment horizontal="right"/>
    </xf>
    <xf numFmtId="0" fontId="10" fillId="7" borderId="1" xfId="0" applyFont="1" applyFill="1" applyBorder="1" applyProtection="1">
      <protection locked="0"/>
    </xf>
    <xf numFmtId="0" fontId="7" fillId="4" borderId="1" xfId="0" applyFont="1" applyFill="1" applyBorder="1" applyProtection="1">
      <protection locked="0"/>
    </xf>
    <xf numFmtId="0" fontId="10" fillId="7" borderId="10" xfId="0" applyFont="1" applyFill="1" applyBorder="1" applyProtection="1">
      <protection locked="0"/>
    </xf>
    <xf numFmtId="0" fontId="12" fillId="2"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3" fontId="2" fillId="2" borderId="14" xfId="0" applyNumberFormat="1" applyFont="1" applyFill="1" applyBorder="1" applyAlignment="1">
      <alignment horizontal="center" vertical="center"/>
    </xf>
    <xf numFmtId="3" fontId="2" fillId="2" borderId="15" xfId="0" applyNumberFormat="1" applyFont="1" applyFill="1" applyBorder="1" applyAlignment="1">
      <alignment horizontal="center" vertical="center"/>
    </xf>
    <xf numFmtId="0" fontId="0" fillId="2" borderId="1" xfId="0" applyFill="1" applyBorder="1" applyAlignment="1">
      <alignment horizontal="left" indent="1"/>
    </xf>
    <xf numFmtId="169" fontId="0" fillId="2" borderId="10" xfId="0" applyNumberFormat="1" applyFill="1" applyBorder="1" applyAlignment="1">
      <alignment horizontal="center"/>
    </xf>
    <xf numFmtId="169" fontId="0" fillId="2" borderId="11" xfId="0" applyNumberFormat="1" applyFill="1" applyBorder="1" applyAlignment="1">
      <alignment horizontal="center"/>
    </xf>
    <xf numFmtId="169" fontId="0" fillId="2" borderId="12" xfId="0" applyNumberFormat="1" applyFill="1" applyBorder="1" applyAlignment="1">
      <alignment horizontal="center"/>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left" vertical="top" wrapText="1"/>
    </xf>
    <xf numFmtId="0" fontId="1" fillId="2" borderId="1" xfId="0" applyFont="1" applyFill="1" applyBorder="1" applyAlignment="1">
      <alignment horizontal="left" vertical="center" wrapText="1" inden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2" xfId="0" applyFont="1" applyFill="1" applyBorder="1" applyAlignment="1">
      <alignment horizontal="left" vertical="center" indent="2"/>
    </xf>
    <xf numFmtId="0" fontId="2" fillId="2" borderId="3" xfId="0" applyFont="1" applyFill="1" applyBorder="1" applyAlignment="1">
      <alignment horizontal="left" vertical="center" indent="2"/>
    </xf>
    <xf numFmtId="0" fontId="2" fillId="2" borderId="4" xfId="0" applyFont="1" applyFill="1" applyBorder="1" applyAlignment="1">
      <alignment horizontal="left" vertical="center" indent="2"/>
    </xf>
    <xf numFmtId="0" fontId="2" fillId="2" borderId="5" xfId="0" applyFont="1" applyFill="1" applyBorder="1" applyAlignment="1">
      <alignment horizontal="left" vertical="center" indent="2"/>
    </xf>
    <xf numFmtId="0" fontId="2" fillId="2" borderId="0" xfId="0" applyFont="1" applyFill="1" applyBorder="1" applyAlignment="1">
      <alignment horizontal="left" vertical="center" indent="2"/>
    </xf>
    <xf numFmtId="0" fontId="2" fillId="2" borderId="6" xfId="0" applyFont="1" applyFill="1" applyBorder="1" applyAlignment="1">
      <alignment horizontal="left" vertical="center" indent="2"/>
    </xf>
    <xf numFmtId="0" fontId="2" fillId="2" borderId="7" xfId="0" applyFont="1" applyFill="1" applyBorder="1" applyAlignment="1">
      <alignment horizontal="left" vertical="center" indent="2"/>
    </xf>
    <xf numFmtId="0" fontId="2" fillId="2" borderId="8" xfId="0" applyFont="1" applyFill="1" applyBorder="1" applyAlignment="1">
      <alignment horizontal="left" vertical="center" indent="2"/>
    </xf>
    <xf numFmtId="0" fontId="2" fillId="2" borderId="9" xfId="0" applyFont="1" applyFill="1" applyBorder="1" applyAlignment="1">
      <alignment horizontal="left" vertical="center" indent="2"/>
    </xf>
    <xf numFmtId="173" fontId="2" fillId="2" borderId="14" xfId="2" applyNumberFormat="1" applyFont="1" applyFill="1" applyBorder="1" applyAlignment="1">
      <alignment horizontal="center" vertical="center"/>
    </xf>
    <xf numFmtId="173" fontId="2" fillId="2" borderId="15" xfId="2" applyNumberFormat="1" applyFont="1" applyFill="1" applyBorder="1" applyAlignment="1">
      <alignment horizontal="center" vertical="center"/>
    </xf>
    <xf numFmtId="4" fontId="51" fillId="29" borderId="26" xfId="0" applyNumberFormat="1" applyFont="1" applyFill="1" applyBorder="1" applyAlignment="1">
      <alignment horizontal="center" vertical="center"/>
    </xf>
    <xf numFmtId="4" fontId="51" fillId="29" borderId="27" xfId="0" applyNumberFormat="1" applyFont="1" applyFill="1" applyBorder="1" applyAlignment="1">
      <alignment horizontal="center" vertical="center"/>
    </xf>
    <xf numFmtId="170" fontId="1" fillId="16" borderId="2" xfId="0" applyNumberFormat="1" applyFont="1" applyFill="1" applyBorder="1" applyAlignment="1">
      <alignment horizontal="center" vertical="center" wrapText="1"/>
    </xf>
    <xf numFmtId="170" fontId="1" fillId="16" borderId="4" xfId="0" applyNumberFormat="1" applyFont="1" applyFill="1" applyBorder="1" applyAlignment="1">
      <alignment horizontal="center" vertical="center" wrapText="1"/>
    </xf>
    <xf numFmtId="170" fontId="0" fillId="16" borderId="10" xfId="0" applyNumberFormat="1" applyFill="1" applyBorder="1" applyAlignment="1">
      <alignment horizontal="center" wrapText="1"/>
    </xf>
    <xf numFmtId="170" fontId="0" fillId="16" borderId="12" xfId="0" applyNumberFormat="1" applyFill="1" applyBorder="1" applyAlignment="1">
      <alignment horizontal="center" wrapText="1"/>
    </xf>
    <xf numFmtId="0" fontId="12" fillId="29" borderId="14" xfId="0" applyFont="1" applyFill="1" applyBorder="1" applyAlignment="1">
      <alignment horizontal="center" vertical="center" wrapText="1"/>
    </xf>
    <xf numFmtId="0" fontId="12" fillId="29" borderId="13" xfId="0" applyFont="1" applyFill="1" applyBorder="1" applyAlignment="1">
      <alignment horizontal="center" vertical="center" wrapText="1"/>
    </xf>
    <xf numFmtId="170" fontId="0" fillId="14" borderId="0" xfId="0" applyNumberFormat="1" applyFont="1" applyFill="1" applyBorder="1" applyAlignment="1">
      <alignment horizontal="center" vertical="center" wrapText="1"/>
    </xf>
    <xf numFmtId="170" fontId="0" fillId="14" borderId="6" xfId="0" applyNumberFormat="1" applyFont="1" applyFill="1" applyBorder="1" applyAlignment="1">
      <alignment horizontal="center" vertical="center" wrapText="1"/>
    </xf>
    <xf numFmtId="170" fontId="0" fillId="16" borderId="5" xfId="0" applyNumberFormat="1" applyFont="1" applyFill="1" applyBorder="1" applyAlignment="1">
      <alignment horizontal="center" vertical="center" wrapText="1"/>
    </xf>
    <xf numFmtId="170" fontId="0" fillId="16" borderId="6" xfId="0" applyNumberFormat="1" applyFont="1" applyFill="1" applyBorder="1" applyAlignment="1">
      <alignment horizontal="center" vertical="center" wrapText="1"/>
    </xf>
    <xf numFmtId="170" fontId="0" fillId="16" borderId="0" xfId="0" applyNumberFormat="1" applyFont="1" applyFill="1" applyBorder="1" applyAlignment="1">
      <alignment horizontal="center" vertical="center" wrapText="1"/>
    </xf>
    <xf numFmtId="0" fontId="12" fillId="7" borderId="1" xfId="0" applyFont="1" applyFill="1" applyBorder="1" applyAlignment="1">
      <alignment horizontal="center" vertical="top" wrapText="1"/>
    </xf>
    <xf numFmtId="0" fontId="52" fillId="7" borderId="1" xfId="0" applyFont="1" applyFill="1" applyBorder="1" applyAlignment="1">
      <alignment horizontal="center" vertical="top"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4" fontId="51" fillId="7" borderId="26" xfId="0" applyNumberFormat="1" applyFont="1" applyFill="1" applyBorder="1" applyAlignment="1">
      <alignment horizontal="center" vertical="center"/>
    </xf>
    <xf numFmtId="4" fontId="51" fillId="7" borderId="27" xfId="0" applyNumberFormat="1" applyFont="1" applyFill="1" applyBorder="1" applyAlignment="1">
      <alignment horizontal="center" vertical="center"/>
    </xf>
    <xf numFmtId="0" fontId="0" fillId="7" borderId="1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169" fontId="0" fillId="23" borderId="1" xfId="0" applyNumberFormat="1" applyFill="1" applyBorder="1" applyAlignment="1">
      <alignment horizontal="center" vertical="center"/>
    </xf>
    <xf numFmtId="0" fontId="0" fillId="14" borderId="11" xfId="0" applyFill="1" applyBorder="1" applyAlignment="1">
      <alignment horizontal="center" vertical="center" wrapText="1"/>
    </xf>
    <xf numFmtId="0" fontId="0" fillId="14" borderId="12" xfId="0" applyFill="1" applyBorder="1" applyAlignment="1">
      <alignment horizontal="center" vertical="center" wrapText="1"/>
    </xf>
    <xf numFmtId="170" fontId="1" fillId="14" borderId="3" xfId="0" applyNumberFormat="1" applyFont="1" applyFill="1" applyBorder="1" applyAlignment="1">
      <alignment horizontal="center" vertical="center" wrapText="1"/>
    </xf>
    <xf numFmtId="170" fontId="1" fillId="14" borderId="4" xfId="0" applyNumberFormat="1" applyFont="1" applyFill="1" applyBorder="1" applyAlignment="1">
      <alignment horizontal="center" vertical="center" wrapText="1"/>
    </xf>
    <xf numFmtId="0" fontId="0" fillId="7" borderId="10" xfId="0" applyFill="1" applyBorder="1" applyAlignment="1" applyProtection="1">
      <alignment horizontal="left"/>
      <protection locked="0"/>
    </xf>
    <xf numFmtId="0" fontId="0" fillId="7" borderId="11" xfId="0" applyFill="1" applyBorder="1" applyAlignment="1" applyProtection="1">
      <alignment horizontal="left"/>
      <protection locked="0"/>
    </xf>
    <xf numFmtId="0" fontId="0" fillId="7" borderId="12" xfId="0" applyFill="1" applyBorder="1" applyAlignment="1" applyProtection="1">
      <alignment horizontal="left"/>
      <protection locked="0"/>
    </xf>
    <xf numFmtId="0" fontId="0" fillId="17" borderId="10" xfId="0" applyFill="1" applyBorder="1" applyAlignment="1">
      <alignment horizontal="left" vertical="center" indent="1"/>
    </xf>
    <xf numFmtId="0" fontId="0" fillId="17" borderId="11" xfId="0" applyFill="1" applyBorder="1" applyAlignment="1">
      <alignment horizontal="left" vertical="center" indent="1"/>
    </xf>
    <xf numFmtId="0" fontId="0" fillId="17" borderId="12" xfId="0" applyFill="1" applyBorder="1" applyAlignment="1">
      <alignment horizontal="left" vertical="center" inden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170" fontId="0" fillId="25" borderId="5" xfId="0" applyNumberFormat="1" applyFont="1" applyFill="1" applyBorder="1" applyAlignment="1">
      <alignment horizontal="center" vertical="center" wrapText="1"/>
    </xf>
    <xf numFmtId="170" fontId="0" fillId="25" borderId="6" xfId="0" applyNumberFormat="1" applyFont="1" applyFill="1" applyBorder="1" applyAlignment="1">
      <alignment horizontal="center" vertical="center" wrapText="1"/>
    </xf>
    <xf numFmtId="0" fontId="12" fillId="16" borderId="14" xfId="0" applyFont="1" applyFill="1" applyBorder="1" applyAlignment="1">
      <alignment horizontal="center" vertical="center" wrapText="1"/>
    </xf>
    <xf numFmtId="0" fontId="12" fillId="16" borderId="13" xfId="0" applyFont="1" applyFill="1" applyBorder="1" applyAlignment="1">
      <alignment horizontal="center" vertical="center" wrapText="1"/>
    </xf>
    <xf numFmtId="3" fontId="2" fillId="16" borderId="14" xfId="0" applyNumberFormat="1" applyFont="1" applyFill="1" applyBorder="1" applyAlignment="1">
      <alignment horizontal="center" vertical="center"/>
    </xf>
    <xf numFmtId="3" fontId="2" fillId="16" borderId="15" xfId="0" applyNumberFormat="1" applyFont="1" applyFill="1" applyBorder="1" applyAlignment="1">
      <alignment horizontal="center" vertical="center"/>
    </xf>
    <xf numFmtId="169" fontId="1" fillId="16" borderId="2" xfId="0" applyNumberFormat="1" applyFont="1" applyFill="1" applyBorder="1" applyAlignment="1">
      <alignment horizontal="center" vertical="center" wrapText="1"/>
    </xf>
    <xf numFmtId="169" fontId="1" fillId="16" borderId="3" xfId="0" applyNumberFormat="1" applyFont="1" applyFill="1" applyBorder="1" applyAlignment="1">
      <alignment horizontal="center" vertical="center" wrapText="1"/>
    </xf>
    <xf numFmtId="0" fontId="0" fillId="0" borderId="0" xfId="0" applyAlignment="1">
      <alignment horizontal="center"/>
    </xf>
    <xf numFmtId="0" fontId="0" fillId="25" borderId="1" xfId="0" applyFill="1" applyBorder="1" applyAlignment="1">
      <alignment horizontal="center" vertical="center" wrapText="1"/>
    </xf>
    <xf numFmtId="168" fontId="0" fillId="25" borderId="1" xfId="2" applyNumberFormat="1" applyFont="1" applyFill="1" applyBorder="1" applyAlignment="1">
      <alignment horizontal="center" vertical="center" wrapText="1"/>
    </xf>
    <xf numFmtId="168" fontId="0" fillId="25" borderId="14" xfId="2" applyNumberFormat="1" applyFont="1" applyFill="1" applyBorder="1" applyAlignment="1">
      <alignment horizontal="center" vertical="center" wrapText="1"/>
    </xf>
    <xf numFmtId="169" fontId="0" fillId="16" borderId="10" xfId="0" applyNumberFormat="1" applyFill="1" applyBorder="1" applyAlignment="1">
      <alignment horizontal="center" vertical="center" wrapText="1"/>
    </xf>
    <xf numFmtId="169" fontId="0" fillId="16" borderId="11" xfId="0" applyNumberFormat="1" applyFill="1" applyBorder="1" applyAlignment="1">
      <alignment horizontal="center" vertical="center" wrapText="1"/>
    </xf>
    <xf numFmtId="0" fontId="0" fillId="16" borderId="10" xfId="0" applyFill="1" applyBorder="1" applyAlignment="1">
      <alignment horizontal="center" vertical="center" wrapText="1"/>
    </xf>
    <xf numFmtId="0" fontId="0" fillId="16" borderId="12" xfId="0" applyFill="1" applyBorder="1" applyAlignment="1">
      <alignment horizontal="center" vertical="center" wrapText="1"/>
    </xf>
    <xf numFmtId="168" fontId="0" fillId="25" borderId="2" xfId="2" applyNumberFormat="1" applyFont="1" applyFill="1" applyBorder="1" applyAlignment="1">
      <alignment horizontal="center" vertical="center" wrapText="1"/>
    </xf>
    <xf numFmtId="168" fontId="0" fillId="25" borderId="4" xfId="2" applyNumberFormat="1" applyFont="1" applyFill="1" applyBorder="1" applyAlignment="1">
      <alignment horizontal="center" vertical="center" wrapText="1"/>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1" fillId="17" borderId="2" xfId="0" applyFont="1" applyFill="1" applyBorder="1" applyAlignment="1">
      <alignment horizontal="center" vertical="center"/>
    </xf>
    <xf numFmtId="0" fontId="1" fillId="17" borderId="3" xfId="0" applyFont="1" applyFill="1" applyBorder="1" applyAlignment="1">
      <alignment horizontal="center" vertical="center"/>
    </xf>
    <xf numFmtId="0" fontId="1" fillId="17" borderId="4" xfId="0" applyFont="1" applyFill="1" applyBorder="1" applyAlignment="1">
      <alignment horizontal="center" vertical="center"/>
    </xf>
    <xf numFmtId="0" fontId="1" fillId="17" borderId="5" xfId="0" applyFont="1" applyFill="1" applyBorder="1" applyAlignment="1">
      <alignment horizontal="center" vertical="center"/>
    </xf>
    <xf numFmtId="0" fontId="1" fillId="17" borderId="0" xfId="0" applyFont="1" applyFill="1" applyBorder="1" applyAlignment="1">
      <alignment horizontal="center" vertical="center"/>
    </xf>
    <xf numFmtId="0" fontId="1" fillId="17" borderId="6" xfId="0" applyFont="1" applyFill="1" applyBorder="1" applyAlignment="1">
      <alignment horizontal="center" vertical="center"/>
    </xf>
    <xf numFmtId="0" fontId="0" fillId="27" borderId="16" xfId="0" applyFill="1" applyBorder="1" applyAlignment="1">
      <alignment horizontal="center"/>
    </xf>
    <xf numFmtId="0" fontId="0" fillId="27" borderId="20" xfId="0" applyFill="1" applyBorder="1" applyAlignment="1">
      <alignment horizontal="center"/>
    </xf>
    <xf numFmtId="0" fontId="0" fillId="27" borderId="17" xfId="0" applyFill="1" applyBorder="1" applyAlignment="1">
      <alignment horizontal="center"/>
    </xf>
    <xf numFmtId="0" fontId="0" fillId="27" borderId="23" xfId="0" applyFill="1" applyBorder="1" applyAlignment="1">
      <alignment horizontal="center"/>
    </xf>
    <xf numFmtId="0" fontId="0" fillId="27" borderId="22" xfId="0" applyFill="1" applyBorder="1" applyAlignment="1">
      <alignment horizontal="center"/>
    </xf>
    <xf numFmtId="0" fontId="0" fillId="27" borderId="24" xfId="0" applyFill="1" applyBorder="1" applyAlignment="1">
      <alignment horizontal="center"/>
    </xf>
    <xf numFmtId="169" fontId="0" fillId="14" borderId="10" xfId="0" applyNumberFormat="1" applyFill="1" applyBorder="1" applyAlignment="1">
      <alignment horizontal="center" vertical="center" wrapText="1"/>
    </xf>
    <xf numFmtId="169" fontId="0" fillId="14" borderId="12" xfId="0" applyNumberFormat="1" applyFill="1" applyBorder="1" applyAlignment="1">
      <alignment horizontal="center" vertical="center" wrapText="1"/>
    </xf>
    <xf numFmtId="169" fontId="1" fillId="14" borderId="2" xfId="0" applyNumberFormat="1" applyFont="1" applyFill="1" applyBorder="1" applyAlignment="1">
      <alignment horizontal="center" vertical="center" wrapText="1"/>
    </xf>
    <xf numFmtId="169" fontId="1" fillId="14" borderId="4" xfId="0" applyNumberFormat="1" applyFont="1" applyFill="1" applyBorder="1" applyAlignment="1">
      <alignment horizontal="center" vertical="center" wrapText="1"/>
    </xf>
    <xf numFmtId="170" fontId="0" fillId="14" borderId="5" xfId="0" applyNumberFormat="1" applyFont="1" applyFill="1" applyBorder="1" applyAlignment="1">
      <alignment horizontal="center" vertical="center" wrapText="1"/>
    </xf>
    <xf numFmtId="0" fontId="0" fillId="15" borderId="2" xfId="0" applyFill="1" applyBorder="1" applyAlignment="1">
      <alignment horizontal="left" vertical="top" wrapText="1"/>
    </xf>
    <xf numFmtId="0" fontId="0" fillId="15" borderId="3" xfId="0" applyFill="1" applyBorder="1" applyAlignment="1">
      <alignment horizontal="left" vertical="top" wrapText="1"/>
    </xf>
    <xf numFmtId="0" fontId="0" fillId="15" borderId="4" xfId="0" applyFill="1" applyBorder="1" applyAlignment="1">
      <alignment horizontal="left" vertical="top" wrapText="1"/>
    </xf>
    <xf numFmtId="0" fontId="0" fillId="15" borderId="5" xfId="0" applyFill="1" applyBorder="1" applyAlignment="1">
      <alignment horizontal="left" vertical="top" wrapText="1"/>
    </xf>
    <xf numFmtId="0" fontId="0" fillId="15" borderId="0" xfId="0" applyFill="1" applyBorder="1" applyAlignment="1">
      <alignment horizontal="left" vertical="top" wrapText="1"/>
    </xf>
    <xf numFmtId="0" fontId="0" fillId="15" borderId="6" xfId="0" applyFill="1" applyBorder="1" applyAlignment="1">
      <alignment horizontal="left" vertical="top" wrapText="1"/>
    </xf>
    <xf numFmtId="0" fontId="0" fillId="15" borderId="7" xfId="0" applyFill="1" applyBorder="1" applyAlignment="1">
      <alignment horizontal="left" vertical="top" wrapText="1"/>
    </xf>
    <xf numFmtId="0" fontId="0" fillId="15" borderId="8" xfId="0" applyFill="1" applyBorder="1" applyAlignment="1">
      <alignment horizontal="left" vertical="top" wrapText="1"/>
    </xf>
    <xf numFmtId="0" fontId="0" fillId="15" borderId="9" xfId="0" applyFill="1" applyBorder="1" applyAlignment="1">
      <alignment horizontal="left" vertical="top" wrapText="1"/>
    </xf>
    <xf numFmtId="0" fontId="12" fillId="14" borderId="14" xfId="0" applyFont="1" applyFill="1" applyBorder="1" applyAlignment="1">
      <alignment horizontal="center" vertical="center" wrapText="1"/>
    </xf>
    <xf numFmtId="0" fontId="12" fillId="14" borderId="13" xfId="0" applyFont="1" applyFill="1" applyBorder="1" applyAlignment="1">
      <alignment horizontal="center" vertical="center" wrapText="1"/>
    </xf>
    <xf numFmtId="4" fontId="51" fillId="14" borderId="26" xfId="0" applyNumberFormat="1" applyFont="1" applyFill="1" applyBorder="1" applyAlignment="1">
      <alignment horizontal="center" vertical="center"/>
    </xf>
    <xf numFmtId="4" fontId="51" fillId="14" borderId="27" xfId="0" applyNumberFormat="1" applyFont="1" applyFill="1" applyBorder="1" applyAlignment="1">
      <alignment horizontal="center" vertical="center"/>
    </xf>
    <xf numFmtId="0" fontId="0" fillId="5" borderId="2" xfId="0" applyFill="1" applyBorder="1" applyAlignment="1">
      <alignment horizontal="center" vertical="top"/>
    </xf>
    <xf numFmtId="0" fontId="0" fillId="5" borderId="3" xfId="0" applyFill="1" applyBorder="1" applyAlignment="1">
      <alignment horizontal="center" vertical="top"/>
    </xf>
    <xf numFmtId="0" fontId="0" fillId="5" borderId="0" xfId="0" applyFill="1" applyBorder="1" applyAlignment="1">
      <alignment horizontal="center" vertical="top"/>
    </xf>
    <xf numFmtId="0" fontId="0" fillId="5" borderId="4" xfId="0" applyFill="1" applyBorder="1" applyAlignment="1">
      <alignment horizontal="center" vertical="top"/>
    </xf>
    <xf numFmtId="0" fontId="0" fillId="5" borderId="7" xfId="0" applyFill="1" applyBorder="1" applyAlignment="1">
      <alignment horizontal="center" vertical="top"/>
    </xf>
    <xf numFmtId="0" fontId="0" fillId="5" borderId="8" xfId="0" applyFill="1" applyBorder="1" applyAlignment="1">
      <alignment horizontal="center" vertical="top"/>
    </xf>
    <xf numFmtId="0" fontId="0" fillId="5" borderId="9" xfId="0" applyFill="1" applyBorder="1" applyAlignment="1">
      <alignment horizontal="center" vertical="top"/>
    </xf>
    <xf numFmtId="170" fontId="0" fillId="14" borderId="11" xfId="0" applyNumberFormat="1" applyFill="1" applyBorder="1" applyAlignment="1">
      <alignment horizontal="center" wrapText="1"/>
    </xf>
    <xf numFmtId="170" fontId="0" fillId="14" borderId="12" xfId="0" applyNumberFormat="1" applyFill="1" applyBorder="1" applyAlignment="1">
      <alignment horizontal="center" wrapText="1"/>
    </xf>
    <xf numFmtId="169" fontId="1" fillId="14" borderId="3" xfId="0" applyNumberFormat="1" applyFont="1" applyFill="1" applyBorder="1" applyAlignment="1">
      <alignment horizontal="center" vertical="center" wrapText="1"/>
    </xf>
    <xf numFmtId="3" fontId="0" fillId="0" borderId="10" xfId="0" applyNumberFormat="1" applyFill="1" applyBorder="1" applyAlignment="1">
      <alignment horizontal="center"/>
    </xf>
    <xf numFmtId="3" fontId="0" fillId="0" borderId="11" xfId="0" applyNumberFormat="1" applyFill="1" applyBorder="1" applyAlignment="1">
      <alignment horizontal="center"/>
    </xf>
    <xf numFmtId="3" fontId="0" fillId="0" borderId="12" xfId="0" applyNumberFormat="1" applyFill="1" applyBorder="1" applyAlignment="1">
      <alignment horizontal="center"/>
    </xf>
    <xf numFmtId="169" fontId="0" fillId="23" borderId="2" xfId="0" applyNumberFormat="1" applyFill="1" applyBorder="1" applyAlignment="1">
      <alignment horizontal="center"/>
    </xf>
    <xf numFmtId="0" fontId="0" fillId="23" borderId="4" xfId="0" applyFill="1" applyBorder="1" applyAlignment="1">
      <alignment horizontal="center"/>
    </xf>
    <xf numFmtId="0" fontId="0" fillId="23" borderId="7" xfId="0" applyFill="1" applyBorder="1" applyAlignment="1">
      <alignment horizontal="center"/>
    </xf>
    <xf numFmtId="0" fontId="0" fillId="23" borderId="9" xfId="0" applyFill="1" applyBorder="1" applyAlignment="1">
      <alignment horizontal="center"/>
    </xf>
    <xf numFmtId="168" fontId="1" fillId="16" borderId="2" xfId="0" applyNumberFormat="1" applyFont="1" applyFill="1" applyBorder="1" applyAlignment="1">
      <alignment horizontal="center" vertical="center"/>
    </xf>
    <xf numFmtId="168" fontId="1" fillId="16" borderId="4" xfId="0" applyNumberFormat="1" applyFont="1" applyFill="1" applyBorder="1" applyAlignment="1">
      <alignment horizontal="center" vertical="center"/>
    </xf>
    <xf numFmtId="168" fontId="0" fillId="16" borderId="10" xfId="2" applyNumberFormat="1" applyFont="1" applyFill="1" applyBorder="1" applyAlignment="1">
      <alignment horizontal="center" vertical="center" wrapText="1"/>
    </xf>
    <xf numFmtId="168" fontId="0" fillId="16" borderId="12" xfId="2"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170" fontId="0" fillId="14" borderId="7" xfId="0" applyNumberFormat="1" applyFont="1" applyFill="1" applyBorder="1" applyAlignment="1">
      <alignment horizontal="center" vertical="center" wrapText="1"/>
    </xf>
    <xf numFmtId="170" fontId="0" fillId="14" borderId="9" xfId="0" applyNumberFormat="1" applyFont="1" applyFill="1" applyBorder="1" applyAlignment="1">
      <alignment horizontal="center" vertical="center" wrapText="1"/>
    </xf>
    <xf numFmtId="3" fontId="0" fillId="16" borderId="7" xfId="0" applyNumberFormat="1" applyFill="1" applyBorder="1" applyAlignment="1">
      <alignment horizontal="center" vertical="center"/>
    </xf>
    <xf numFmtId="3" fontId="0" fillId="16" borderId="9" xfId="0" applyNumberFormat="1" applyFill="1" applyBorder="1" applyAlignment="1">
      <alignment horizontal="center" vertical="center"/>
    </xf>
    <xf numFmtId="0" fontId="1" fillId="17" borderId="2"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8"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0" fillId="14" borderId="10" xfId="0" applyFill="1" applyBorder="1" applyAlignment="1">
      <alignment horizontal="center" vertical="center" wrapText="1"/>
    </xf>
    <xf numFmtId="168" fontId="1" fillId="14" borderId="2" xfId="0" applyNumberFormat="1" applyFont="1" applyFill="1" applyBorder="1" applyAlignment="1">
      <alignment horizontal="center" vertical="center" wrapText="1"/>
    </xf>
    <xf numFmtId="168" fontId="1" fillId="14" borderId="4" xfId="0" applyNumberFormat="1" applyFont="1" applyFill="1" applyBorder="1" applyAlignment="1">
      <alignment horizontal="center" vertical="center" wrapText="1"/>
    </xf>
    <xf numFmtId="168" fontId="0" fillId="14" borderId="10" xfId="2" applyNumberFormat="1" applyFont="1" applyFill="1" applyBorder="1" applyAlignment="1">
      <alignment horizontal="center" vertical="center" wrapText="1"/>
    </xf>
    <xf numFmtId="168" fontId="0" fillId="14" borderId="12" xfId="2" applyNumberFormat="1" applyFont="1" applyFill="1" applyBorder="1" applyAlignment="1">
      <alignment horizontal="center" vertical="center" wrapText="1"/>
    </xf>
    <xf numFmtId="0" fontId="0" fillId="7" borderId="10" xfId="0" applyFill="1" applyBorder="1" applyAlignment="1" applyProtection="1">
      <alignment horizontal="left" vertical="top"/>
      <protection locked="0"/>
    </xf>
    <xf numFmtId="0" fontId="0" fillId="7" borderId="11" xfId="0" applyFill="1" applyBorder="1" applyAlignment="1" applyProtection="1">
      <alignment horizontal="left" vertical="top"/>
      <protection locked="0"/>
    </xf>
    <xf numFmtId="0" fontId="0" fillId="7" borderId="12" xfId="0" applyFill="1" applyBorder="1" applyAlignment="1" applyProtection="1">
      <alignment horizontal="left" vertical="top"/>
      <protection locked="0"/>
    </xf>
    <xf numFmtId="168" fontId="0" fillId="22" borderId="10" xfId="2" applyNumberFormat="1" applyFont="1" applyFill="1" applyBorder="1" applyAlignment="1">
      <alignment horizontal="center" vertical="top"/>
    </xf>
    <xf numFmtId="168" fontId="0" fillId="22" borderId="12" xfId="2" applyNumberFormat="1" applyFont="1" applyFill="1" applyBorder="1" applyAlignment="1">
      <alignment horizontal="center" vertical="top"/>
    </xf>
    <xf numFmtId="0" fontId="0" fillId="23" borderId="1" xfId="0" applyFill="1" applyBorder="1" applyAlignment="1">
      <alignment horizontal="center" vertical="center" wrapText="1"/>
    </xf>
    <xf numFmtId="3" fontId="0" fillId="23" borderId="1" xfId="0" applyNumberFormat="1" applyFill="1" applyBorder="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3" fontId="0" fillId="23" borderId="5" xfId="0" applyNumberFormat="1" applyFill="1" applyBorder="1" applyAlignment="1">
      <alignment horizontal="center"/>
    </xf>
    <xf numFmtId="0" fontId="0" fillId="23" borderId="6" xfId="0" applyFill="1" applyBorder="1" applyAlignment="1">
      <alignment horizontal="center"/>
    </xf>
    <xf numFmtId="170" fontId="0" fillId="14" borderId="8" xfId="0" applyNumberFormat="1" applyFont="1" applyFill="1" applyBorder="1" applyAlignment="1">
      <alignment horizontal="center" vertical="center" wrapText="1"/>
    </xf>
    <xf numFmtId="170" fontId="0" fillId="16" borderId="7" xfId="0" applyNumberFormat="1" applyFont="1" applyFill="1" applyBorder="1" applyAlignment="1">
      <alignment horizontal="center" vertical="center" wrapText="1"/>
    </xf>
    <xf numFmtId="170" fontId="0" fillId="16" borderId="9" xfId="0" applyNumberFormat="1" applyFont="1" applyFill="1" applyBorder="1" applyAlignment="1">
      <alignment horizontal="center" vertical="center" wrapText="1"/>
    </xf>
    <xf numFmtId="0" fontId="1" fillId="17" borderId="7" xfId="0" applyFont="1" applyFill="1" applyBorder="1" applyAlignment="1">
      <alignment horizontal="center" vertical="center"/>
    </xf>
    <xf numFmtId="0" fontId="1" fillId="17" borderId="8" xfId="0" applyFont="1" applyFill="1" applyBorder="1" applyAlignment="1">
      <alignment horizontal="center" vertical="center"/>
    </xf>
    <xf numFmtId="0" fontId="1" fillId="17" borderId="9" xfId="0" applyFont="1" applyFill="1" applyBorder="1" applyAlignment="1">
      <alignment horizontal="center" vertical="center"/>
    </xf>
    <xf numFmtId="0" fontId="0" fillId="15" borderId="10" xfId="0" applyFill="1" applyBorder="1" applyAlignment="1">
      <alignment horizontal="left" vertical="top"/>
    </xf>
    <xf numFmtId="0" fontId="0" fillId="15" borderId="11" xfId="0" applyFill="1" applyBorder="1" applyAlignment="1">
      <alignment horizontal="left" vertical="top"/>
    </xf>
    <xf numFmtId="0" fontId="0" fillId="15" borderId="12" xfId="0" applyFill="1" applyBorder="1" applyAlignment="1">
      <alignment horizontal="left" vertical="top"/>
    </xf>
    <xf numFmtId="0" fontId="0" fillId="15" borderId="10" xfId="0" applyFill="1" applyBorder="1" applyAlignment="1" applyProtection="1">
      <alignment horizontal="left" vertical="top"/>
      <protection locked="0"/>
    </xf>
    <xf numFmtId="0" fontId="0" fillId="15" borderId="11" xfId="0" applyFill="1" applyBorder="1" applyAlignment="1" applyProtection="1">
      <alignment horizontal="left" vertical="top"/>
      <protection locked="0"/>
    </xf>
    <xf numFmtId="0" fontId="0" fillId="15" borderId="12" xfId="0" applyFill="1" applyBorder="1" applyAlignment="1" applyProtection="1">
      <alignment horizontal="left" vertical="top"/>
      <protection locked="0"/>
    </xf>
    <xf numFmtId="0" fontId="0" fillId="17" borderId="10" xfId="0" applyFill="1" applyBorder="1" applyAlignment="1">
      <alignment horizontal="left" vertical="center" wrapText="1" indent="1"/>
    </xf>
    <xf numFmtId="0" fontId="0" fillId="17" borderId="11" xfId="0" applyFill="1" applyBorder="1" applyAlignment="1">
      <alignment horizontal="left" vertical="center" wrapText="1" indent="1"/>
    </xf>
    <xf numFmtId="0" fontId="0" fillId="17" borderId="12" xfId="0" applyFill="1" applyBorder="1" applyAlignment="1">
      <alignment horizontal="left" vertical="center" wrapText="1" indent="1"/>
    </xf>
    <xf numFmtId="0" fontId="1" fillId="17" borderId="2" xfId="0" applyFont="1" applyFill="1" applyBorder="1" applyAlignment="1" applyProtection="1">
      <alignment horizontal="center" vertical="center"/>
      <protection locked="0"/>
    </xf>
    <xf numFmtId="0" fontId="1" fillId="17" borderId="3" xfId="0" applyFont="1" applyFill="1" applyBorder="1" applyAlignment="1" applyProtection="1">
      <alignment horizontal="center" vertical="center"/>
      <protection locked="0"/>
    </xf>
    <xf numFmtId="0" fontId="1" fillId="17" borderId="4" xfId="0" applyFont="1" applyFill="1" applyBorder="1" applyAlignment="1" applyProtection="1">
      <alignment horizontal="center" vertical="center"/>
      <protection locked="0"/>
    </xf>
    <xf numFmtId="0" fontId="1" fillId="17" borderId="7" xfId="0" applyFont="1" applyFill="1" applyBorder="1" applyAlignment="1" applyProtection="1">
      <alignment horizontal="center" vertical="center"/>
      <protection locked="0"/>
    </xf>
    <xf numFmtId="0" fontId="1" fillId="17" borderId="8" xfId="0" applyFont="1" applyFill="1" applyBorder="1" applyAlignment="1" applyProtection="1">
      <alignment horizontal="center" vertical="center"/>
      <protection locked="0"/>
    </xf>
    <xf numFmtId="0" fontId="1" fillId="17" borderId="9" xfId="0" applyFont="1" applyFill="1" applyBorder="1" applyAlignment="1" applyProtection="1">
      <alignment horizontal="center" vertical="center"/>
      <protection locked="0"/>
    </xf>
    <xf numFmtId="169" fontId="0" fillId="22" borderId="10" xfId="0" applyNumberFormat="1" applyFill="1" applyBorder="1" applyAlignment="1">
      <alignment horizontal="center" vertical="center"/>
    </xf>
    <xf numFmtId="169" fontId="0" fillId="22" borderId="12" xfId="0" applyNumberFormat="1" applyFill="1" applyBorder="1" applyAlignment="1">
      <alignment horizontal="center" vertical="center"/>
    </xf>
    <xf numFmtId="168" fontId="1" fillId="9" borderId="2" xfId="0" applyNumberFormat="1" applyFont="1" applyFill="1" applyBorder="1" applyAlignment="1">
      <alignment horizontal="center" vertical="center"/>
    </xf>
    <xf numFmtId="168" fontId="1" fillId="9" borderId="4" xfId="0" applyNumberFormat="1" applyFont="1" applyFill="1" applyBorder="1" applyAlignment="1">
      <alignment horizontal="center" vertical="center"/>
    </xf>
    <xf numFmtId="0" fontId="0" fillId="9" borderId="7" xfId="0" applyFont="1" applyFill="1" applyBorder="1" applyAlignment="1">
      <alignment horizontal="center" vertical="center"/>
    </xf>
    <xf numFmtId="0" fontId="0" fillId="9" borderId="9" xfId="0" applyFont="1" applyFill="1" applyBorder="1" applyAlignment="1">
      <alignment horizontal="center" vertical="center"/>
    </xf>
    <xf numFmtId="168" fontId="0" fillId="14" borderId="10" xfId="2" applyNumberFormat="1" applyFont="1" applyFill="1" applyBorder="1" applyAlignment="1">
      <alignment horizontal="center" wrapText="1"/>
    </xf>
    <xf numFmtId="168" fontId="0" fillId="14" borderId="12" xfId="2" applyNumberFormat="1" applyFont="1" applyFill="1" applyBorder="1" applyAlignment="1">
      <alignment horizontal="center" wrapText="1"/>
    </xf>
    <xf numFmtId="0" fontId="0" fillId="17" borderId="10" xfId="0" applyFill="1" applyBorder="1" applyAlignment="1">
      <alignment horizontal="center" vertical="center" wrapText="1"/>
    </xf>
    <xf numFmtId="0" fontId="0" fillId="17" borderId="11" xfId="0" applyFill="1" applyBorder="1" applyAlignment="1">
      <alignment horizontal="center" vertical="center" wrapText="1"/>
    </xf>
    <xf numFmtId="0" fontId="0" fillId="17" borderId="12" xfId="0" applyFill="1" applyBorder="1" applyAlignment="1">
      <alignment horizontal="center" vertical="center" wrapText="1"/>
    </xf>
    <xf numFmtId="0" fontId="0" fillId="15" borderId="5" xfId="0" applyFill="1" applyBorder="1" applyAlignment="1">
      <alignment horizontal="center" wrapText="1"/>
    </xf>
    <xf numFmtId="0" fontId="0" fillId="22" borderId="10" xfId="0" applyFill="1" applyBorder="1" applyAlignment="1">
      <alignment horizontal="center" vertical="center" wrapText="1"/>
    </xf>
    <xf numFmtId="0" fontId="0" fillId="22" borderId="12" xfId="0" applyFill="1" applyBorder="1" applyAlignment="1">
      <alignment horizontal="center" vertical="center" wrapText="1"/>
    </xf>
    <xf numFmtId="170" fontId="0" fillId="14" borderId="7" xfId="0" applyNumberFormat="1" applyFill="1" applyBorder="1" applyAlignment="1">
      <alignment horizontal="center" vertical="center"/>
    </xf>
    <xf numFmtId="170" fontId="0" fillId="14" borderId="9" xfId="0" applyNumberFormat="1" applyFill="1" applyBorder="1" applyAlignment="1">
      <alignment horizontal="center" vertical="center"/>
    </xf>
    <xf numFmtId="169" fontId="1" fillId="25" borderId="2" xfId="0" applyNumberFormat="1" applyFont="1" applyFill="1" applyBorder="1" applyAlignment="1">
      <alignment horizontal="center" vertical="center" wrapText="1"/>
    </xf>
    <xf numFmtId="169" fontId="1" fillId="25" borderId="4" xfId="0" applyNumberFormat="1" applyFont="1" applyFill="1" applyBorder="1" applyAlignment="1">
      <alignment horizontal="center" vertical="center" wrapText="1"/>
    </xf>
    <xf numFmtId="170" fontId="0" fillId="25" borderId="7" xfId="0" applyNumberFormat="1" applyFont="1" applyFill="1" applyBorder="1" applyAlignment="1">
      <alignment horizontal="center" vertical="center" wrapText="1"/>
    </xf>
    <xf numFmtId="170" fontId="0" fillId="25" borderId="9" xfId="0" applyNumberFormat="1" applyFont="1" applyFill="1" applyBorder="1" applyAlignment="1">
      <alignment horizontal="center" vertical="center" wrapText="1"/>
    </xf>
    <xf numFmtId="0" fontId="0" fillId="27" borderId="18" xfId="0" applyFill="1" applyBorder="1" applyAlignment="1">
      <alignment horizontal="center"/>
    </xf>
    <xf numFmtId="0" fontId="0" fillId="27" borderId="21" xfId="0" applyFill="1" applyBorder="1" applyAlignment="1">
      <alignment horizontal="center"/>
    </xf>
    <xf numFmtId="0" fontId="0" fillId="27" borderId="19" xfId="0" applyFill="1" applyBorder="1" applyAlignment="1">
      <alignment horizontal="center"/>
    </xf>
    <xf numFmtId="0" fontId="0" fillId="16" borderId="1" xfId="0" applyFill="1" applyBorder="1" applyAlignment="1">
      <alignment horizontal="center" vertical="center" wrapText="1"/>
    </xf>
    <xf numFmtId="169" fontId="1" fillId="16" borderId="4" xfId="0" applyNumberFormat="1" applyFont="1" applyFill="1" applyBorder="1" applyAlignment="1">
      <alignment horizontal="center" vertical="center" wrapText="1"/>
    </xf>
    <xf numFmtId="164" fontId="0" fillId="22" borderId="10" xfId="2" applyFont="1" applyFill="1" applyBorder="1" applyAlignment="1">
      <alignment horizontal="center" vertical="center"/>
    </xf>
    <xf numFmtId="164" fontId="0" fillId="22" borderId="12" xfId="2" applyFont="1" applyFill="1" applyBorder="1" applyAlignment="1">
      <alignment horizontal="center" vertical="center"/>
    </xf>
    <xf numFmtId="168" fontId="0" fillId="25" borderId="10" xfId="2" applyNumberFormat="1" applyFont="1" applyFill="1" applyBorder="1" applyAlignment="1">
      <alignment horizontal="center" vertical="center" wrapText="1"/>
    </xf>
    <xf numFmtId="168" fontId="0" fillId="25" borderId="12" xfId="2" applyNumberFormat="1" applyFont="1" applyFill="1" applyBorder="1" applyAlignment="1">
      <alignment horizontal="center" vertical="center" wrapText="1"/>
    </xf>
    <xf numFmtId="0" fontId="0" fillId="7" borderId="10" xfId="0" applyFill="1" applyBorder="1" applyAlignment="1" applyProtection="1">
      <alignment horizontal="center" vertical="top"/>
      <protection locked="0"/>
    </xf>
    <xf numFmtId="0" fontId="0" fillId="7" borderId="11" xfId="0" applyFill="1" applyBorder="1" applyAlignment="1" applyProtection="1">
      <alignment horizontal="center" vertical="top"/>
      <protection locked="0"/>
    </xf>
    <xf numFmtId="0" fontId="0" fillId="7" borderId="12" xfId="0" applyFill="1" applyBorder="1" applyAlignment="1" applyProtection="1">
      <alignment horizontal="center" vertical="top"/>
      <protection locked="0"/>
    </xf>
    <xf numFmtId="0" fontId="0" fillId="26" borderId="11" xfId="0" applyFill="1" applyBorder="1" applyAlignment="1">
      <alignment horizontal="center"/>
    </xf>
    <xf numFmtId="0" fontId="0" fillId="15" borderId="0" xfId="0" applyFont="1" applyFill="1" applyAlignment="1">
      <alignment horizontal="left" vertical="top" wrapText="1"/>
    </xf>
    <xf numFmtId="0" fontId="0" fillId="5" borderId="10" xfId="0" applyFill="1" applyBorder="1" applyAlignment="1">
      <alignment horizontal="center" vertical="top" wrapText="1"/>
    </xf>
    <xf numFmtId="0" fontId="0" fillId="5" borderId="11" xfId="0" applyFill="1" applyBorder="1" applyAlignment="1">
      <alignment horizontal="center" vertical="top" wrapText="1"/>
    </xf>
    <xf numFmtId="0" fontId="0" fillId="5" borderId="12" xfId="0" applyFill="1" applyBorder="1" applyAlignment="1">
      <alignment horizontal="center" vertical="top" wrapText="1"/>
    </xf>
    <xf numFmtId="0" fontId="0" fillId="3" borderId="5" xfId="0" applyFill="1" applyBorder="1" applyAlignment="1">
      <alignment horizontal="center" wrapText="1"/>
    </xf>
    <xf numFmtId="0" fontId="0" fillId="3" borderId="0" xfId="0" applyFill="1" applyBorder="1" applyAlignment="1">
      <alignment horizontal="center" wrapText="1"/>
    </xf>
    <xf numFmtId="0" fontId="18" fillId="22" borderId="10" xfId="0" applyFont="1" applyFill="1" applyBorder="1" applyAlignment="1">
      <alignment horizontal="left" vertical="center" wrapText="1"/>
    </xf>
    <xf numFmtId="0" fontId="18" fillId="22" borderId="11" xfId="0" applyFont="1" applyFill="1" applyBorder="1" applyAlignment="1">
      <alignment horizontal="left" vertical="center" wrapText="1"/>
    </xf>
    <xf numFmtId="0" fontId="18" fillId="22" borderId="12" xfId="0" applyFont="1" applyFill="1" applyBorder="1" applyAlignment="1">
      <alignment horizontal="left" vertical="center" wrapText="1"/>
    </xf>
    <xf numFmtId="0" fontId="18" fillId="5" borderId="10" xfId="0" applyFont="1" applyFill="1" applyBorder="1" applyAlignment="1">
      <alignment horizontal="left" vertical="top"/>
    </xf>
    <xf numFmtId="0" fontId="18" fillId="5" borderId="11" xfId="0" applyFont="1" applyFill="1" applyBorder="1" applyAlignment="1">
      <alignment horizontal="left" vertical="top"/>
    </xf>
    <xf numFmtId="0" fontId="18" fillId="5" borderId="12" xfId="0" applyFont="1" applyFill="1" applyBorder="1" applyAlignment="1">
      <alignment horizontal="left" vertical="top"/>
    </xf>
    <xf numFmtId="0" fontId="18" fillId="23" borderId="10" xfId="0" applyFont="1" applyFill="1" applyBorder="1" applyAlignment="1">
      <alignment horizontal="left"/>
    </xf>
    <xf numFmtId="0" fontId="18" fillId="23" borderId="11" xfId="0" applyFont="1" applyFill="1" applyBorder="1" applyAlignment="1">
      <alignment horizontal="left"/>
    </xf>
    <xf numFmtId="0" fontId="18" fillId="23" borderId="12" xfId="0" applyFont="1" applyFill="1" applyBorder="1" applyAlignment="1">
      <alignment horizontal="left"/>
    </xf>
    <xf numFmtId="0" fontId="18" fillId="14" borderId="10" xfId="0" applyFont="1" applyFill="1" applyBorder="1" applyAlignment="1">
      <alignment horizontal="left"/>
    </xf>
    <xf numFmtId="0" fontId="18" fillId="14" borderId="11" xfId="0" applyFont="1" applyFill="1" applyBorder="1" applyAlignment="1">
      <alignment horizontal="left"/>
    </xf>
    <xf numFmtId="0" fontId="18" fillId="14" borderId="12" xfId="0" applyFont="1" applyFill="1" applyBorder="1" applyAlignment="1">
      <alignment horizontal="left"/>
    </xf>
    <xf numFmtId="0" fontId="18" fillId="16" borderId="10" xfId="0" applyFont="1" applyFill="1" applyBorder="1" applyAlignment="1">
      <alignment horizontal="left"/>
    </xf>
    <xf numFmtId="0" fontId="18" fillId="16" borderId="11" xfId="0" applyFont="1" applyFill="1" applyBorder="1" applyAlignment="1">
      <alignment horizontal="left"/>
    </xf>
    <xf numFmtId="0" fontId="18" fillId="16" borderId="12" xfId="0" applyFont="1" applyFill="1" applyBorder="1" applyAlignment="1">
      <alignment horizontal="left"/>
    </xf>
    <xf numFmtId="0" fontId="19" fillId="26" borderId="10" xfId="0" applyFont="1" applyFill="1" applyBorder="1" applyAlignment="1">
      <alignment horizontal="left"/>
    </xf>
    <xf numFmtId="0" fontId="19" fillId="26" borderId="11" xfId="0" applyFont="1" applyFill="1" applyBorder="1" applyAlignment="1">
      <alignment horizontal="left"/>
    </xf>
    <xf numFmtId="0" fontId="19" fillId="26" borderId="12" xfId="0" applyFont="1" applyFill="1" applyBorder="1" applyAlignment="1">
      <alignment horizontal="left"/>
    </xf>
    <xf numFmtId="0" fontId="19" fillId="25" borderId="10" xfId="0" applyFont="1" applyFill="1" applyBorder="1" applyAlignment="1">
      <alignment horizontal="left"/>
    </xf>
    <xf numFmtId="0" fontId="19" fillId="25" borderId="11" xfId="0" applyFont="1" applyFill="1" applyBorder="1" applyAlignment="1">
      <alignment horizontal="left"/>
    </xf>
    <xf numFmtId="0" fontId="19" fillId="25" borderId="12" xfId="0" applyFont="1" applyFill="1" applyBorder="1" applyAlignment="1">
      <alignment horizontal="left"/>
    </xf>
    <xf numFmtId="164" fontId="0" fillId="22" borderId="10" xfId="2" applyFont="1" applyFill="1" applyBorder="1" applyAlignment="1">
      <alignment horizontal="center" wrapText="1"/>
    </xf>
    <xf numFmtId="164" fontId="0" fillId="22" borderId="12" xfId="2" applyFont="1" applyFill="1" applyBorder="1" applyAlignment="1">
      <alignment horizontal="center" wrapText="1"/>
    </xf>
    <xf numFmtId="174" fontId="0" fillId="22" borderId="10" xfId="2" applyNumberFormat="1" applyFont="1" applyFill="1" applyBorder="1" applyAlignment="1">
      <alignment horizontal="center" vertical="center"/>
    </xf>
    <xf numFmtId="174" fontId="0" fillId="22" borderId="12" xfId="2" applyNumberFormat="1" applyFont="1" applyFill="1" applyBorder="1" applyAlignment="1">
      <alignment horizontal="center" vertical="center"/>
    </xf>
    <xf numFmtId="0" fontId="0" fillId="25" borderId="10" xfId="0" applyFill="1" applyBorder="1" applyAlignment="1">
      <alignment horizontal="center" vertical="center" wrapText="1"/>
    </xf>
    <xf numFmtId="0" fontId="0" fillId="25" borderId="12" xfId="0" applyFill="1" applyBorder="1" applyAlignment="1">
      <alignment horizontal="center" vertical="center" wrapText="1"/>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0" fillId="4" borderId="10" xfId="0" applyFill="1" applyBorder="1" applyAlignment="1">
      <alignment horizontal="left" vertical="center" wrapText="1" indent="1"/>
    </xf>
    <xf numFmtId="0" fontId="0" fillId="4" borderId="11" xfId="0" applyFill="1" applyBorder="1" applyAlignment="1">
      <alignment horizontal="left" vertical="center" wrapText="1" indent="1"/>
    </xf>
    <xf numFmtId="0" fontId="0" fillId="4" borderId="12" xfId="0" applyFill="1" applyBorder="1" applyAlignment="1">
      <alignment horizontal="left" vertical="center" wrapText="1" indent="1"/>
    </xf>
    <xf numFmtId="0" fontId="0" fillId="15" borderId="0" xfId="0" applyFill="1" applyBorder="1" applyAlignment="1">
      <alignment horizontal="left" vertical="top"/>
    </xf>
    <xf numFmtId="3" fontId="0" fillId="0" borderId="1" xfId="0" applyNumberFormat="1" applyFill="1" applyBorder="1" applyAlignment="1">
      <alignment horizontal="center"/>
    </xf>
    <xf numFmtId="168" fontId="0" fillId="16" borderId="10" xfId="2" applyNumberFormat="1" applyFont="1" applyFill="1" applyBorder="1" applyAlignment="1">
      <alignment horizontal="center" wrapText="1"/>
    </xf>
    <xf numFmtId="168" fontId="0" fillId="16" borderId="12" xfId="2" applyNumberFormat="1" applyFont="1" applyFill="1" applyBorder="1" applyAlignment="1">
      <alignment horizontal="center" wrapText="1"/>
    </xf>
    <xf numFmtId="168" fontId="1" fillId="16" borderId="2" xfId="0" applyNumberFormat="1" applyFont="1" applyFill="1" applyBorder="1" applyAlignment="1">
      <alignment horizontal="center" wrapText="1"/>
    </xf>
    <xf numFmtId="168" fontId="1" fillId="16" borderId="4" xfId="0" applyNumberFormat="1" applyFont="1" applyFill="1" applyBorder="1" applyAlignment="1">
      <alignment horizont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3"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8" xfId="0" applyFont="1" applyFill="1" applyBorder="1" applyAlignment="1">
      <alignment horizontal="center" vertical="top" wrapText="1"/>
    </xf>
    <xf numFmtId="0" fontId="16" fillId="7" borderId="10" xfId="0" applyFont="1" applyFill="1" applyBorder="1" applyAlignment="1" applyProtection="1">
      <alignment horizontal="left"/>
      <protection locked="0"/>
    </xf>
    <xf numFmtId="0" fontId="16" fillId="7" borderId="11" xfId="0" applyFont="1" applyFill="1" applyBorder="1" applyAlignment="1" applyProtection="1">
      <alignment horizontal="left"/>
      <protection locked="0"/>
    </xf>
    <xf numFmtId="0" fontId="16" fillId="7" borderId="12" xfId="0" applyFont="1" applyFill="1" applyBorder="1" applyAlignment="1" applyProtection="1">
      <alignment horizontal="left"/>
      <protection locked="0"/>
    </xf>
    <xf numFmtId="0" fontId="5" fillId="0" borderId="11" xfId="0" applyFont="1" applyBorder="1" applyAlignment="1">
      <alignment horizontal="center" vertical="top" wrapText="1"/>
    </xf>
    <xf numFmtId="0" fontId="5" fillId="0" borderId="8" xfId="0" applyFont="1" applyBorder="1" applyAlignment="1">
      <alignment horizontal="center" vertical="top" wrapText="1"/>
    </xf>
    <xf numFmtId="0" fontId="8" fillId="0" borderId="11"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5" fillId="8" borderId="0" xfId="0" applyFont="1" applyFill="1" applyAlignment="1">
      <alignment horizontal="left"/>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17" borderId="0" xfId="0" applyFont="1" applyFill="1" applyBorder="1" applyAlignment="1">
      <alignment horizontal="left" vertical="top"/>
    </xf>
    <xf numFmtId="0" fontId="5" fillId="13" borderId="0" xfId="0" applyFont="1" applyFill="1" applyAlignment="1">
      <alignment horizontal="left"/>
    </xf>
    <xf numFmtId="0" fontId="5" fillId="12" borderId="0" xfId="0" applyFont="1" applyFill="1" applyAlignment="1">
      <alignment horizontal="left"/>
    </xf>
    <xf numFmtId="0" fontId="5" fillId="10" borderId="1" xfId="0" applyFont="1" applyFill="1" applyBorder="1" applyAlignment="1">
      <alignment horizontal="left" vertical="top"/>
    </xf>
    <xf numFmtId="0" fontId="5" fillId="9" borderId="0" xfId="0" applyFont="1" applyFill="1" applyAlignment="1">
      <alignment horizontal="left" vertical="top"/>
    </xf>
    <xf numFmtId="0" fontId="5" fillId="19" borderId="0" xfId="0" applyFont="1" applyFill="1" applyBorder="1" applyAlignment="1">
      <alignment horizontal="left" vertical="top"/>
    </xf>
    <xf numFmtId="0" fontId="5" fillId="0" borderId="1" xfId="0" applyFont="1" applyBorder="1" applyAlignment="1">
      <alignment horizontal="center" vertical="center"/>
    </xf>
    <xf numFmtId="0" fontId="5" fillId="0" borderId="0" xfId="0" applyFont="1" applyAlignment="1">
      <alignment horizontal="center" vertical="top" wrapText="1"/>
    </xf>
    <xf numFmtId="0" fontId="5" fillId="18" borderId="1" xfId="0" applyFont="1" applyFill="1" applyBorder="1" applyAlignment="1">
      <alignment horizontal="left" vertical="center"/>
    </xf>
    <xf numFmtId="0" fontId="5" fillId="11" borderId="1" xfId="0" applyFont="1" applyFill="1" applyBorder="1" applyAlignment="1">
      <alignment horizontal="left"/>
    </xf>
    <xf numFmtId="0" fontId="5" fillId="4" borderId="1" xfId="0" applyFont="1" applyFill="1" applyBorder="1" applyAlignment="1">
      <alignment horizontal="left"/>
    </xf>
    <xf numFmtId="0" fontId="5" fillId="11" borderId="0" xfId="0" applyFont="1" applyFill="1" applyBorder="1" applyAlignment="1">
      <alignment horizontal="left"/>
    </xf>
    <xf numFmtId="0" fontId="0" fillId="0" borderId="0" xfId="0" applyFont="1" applyAlignment="1">
      <alignment horizontal="center"/>
    </xf>
    <xf numFmtId="0" fontId="0" fillId="0" borderId="0" xfId="0" applyFont="1" applyFill="1" applyBorder="1" applyAlignment="1">
      <alignment horizontal="center" vertical="center"/>
    </xf>
    <xf numFmtId="0" fontId="0" fillId="3" borderId="0" xfId="0" applyFont="1" applyFill="1" applyAlignment="1">
      <alignment horizontal="left" vertical="top" wrapText="1"/>
    </xf>
    <xf numFmtId="0" fontId="2" fillId="3" borderId="0" xfId="0" applyFont="1" applyFill="1" applyAlignment="1">
      <alignment horizontal="center"/>
    </xf>
    <xf numFmtId="168" fontId="1" fillId="0" borderId="14" xfId="0" applyNumberFormat="1" applyFont="1" applyBorder="1" applyAlignment="1">
      <alignment horizontal="center" vertical="center"/>
    </xf>
    <xf numFmtId="168" fontId="1" fillId="0" borderId="15" xfId="0" applyNumberFormat="1" applyFont="1" applyBorder="1" applyAlignment="1">
      <alignment horizontal="center" vertical="center"/>
    </xf>
    <xf numFmtId="168" fontId="1" fillId="0" borderId="13"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3" xfId="0" applyFont="1" applyFill="1" applyBorder="1" applyAlignment="1">
      <alignment horizontal="center" vertical="center"/>
    </xf>
  </cellXfs>
  <cellStyles count="5">
    <cellStyle name="Komma" xfId="2" builtinId="3"/>
    <cellStyle name="Link" xfId="4" builtinId="8"/>
    <cellStyle name="Normal" xfId="0" builtinId="0"/>
    <cellStyle name="Normal 2" xfId="1" xr:uid="{00000000-0005-0000-0000-000003000000}"/>
    <cellStyle name="Procent" xfId="3" builtinId="5"/>
  </cellStyles>
  <dxfs count="56">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tint="-0.14996795556505021"/>
        </patternFill>
      </fill>
    </dxf>
    <dxf>
      <fill>
        <patternFill>
          <bgColor rgb="FF00B0F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patternType="none">
          <bgColor auto="1"/>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FF6565"/>
        </patternFill>
      </fill>
    </dxf>
    <dxf>
      <fill>
        <patternFill>
          <bgColor rgb="FF92D050"/>
        </patternFill>
      </fill>
    </dxf>
    <dxf>
      <fill>
        <patternFill>
          <bgColor rgb="FFFF6565"/>
        </patternFill>
      </fill>
    </dxf>
  </dxfs>
  <tableStyles count="0" defaultTableStyle="TableStyleMedium2" defaultPivotStyle="PivotStyleLight16"/>
  <colors>
    <mruColors>
      <color rgb="FFFF7979"/>
      <color rgb="FFFFCC66"/>
      <color rgb="FF95F062"/>
      <color rgb="FF66FF66"/>
      <color rgb="FF33CC33"/>
      <color rgb="FF008000"/>
      <color rgb="FF00CC00"/>
      <color rgb="FFFF2D2D"/>
      <color rgb="FFFF6565"/>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66676</xdr:rowOff>
    </xdr:from>
    <xdr:to>
      <xdr:col>9</xdr:col>
      <xdr:colOff>682336</xdr:colOff>
      <xdr:row>6</xdr:row>
      <xdr:rowOff>66675</xdr:rowOff>
    </xdr:to>
    <xdr:grpSp>
      <xdr:nvGrpSpPr>
        <xdr:cNvPr id="2" name="Group 8">
          <a:extLst>
            <a:ext uri="{FF2B5EF4-FFF2-40B4-BE49-F238E27FC236}">
              <a16:creationId xmlns:a16="http://schemas.microsoft.com/office/drawing/2014/main" id="{00000000-0008-0000-0000-000002000000}"/>
            </a:ext>
          </a:extLst>
        </xdr:cNvPr>
        <xdr:cNvGrpSpPr/>
      </xdr:nvGrpSpPr>
      <xdr:grpSpPr>
        <a:xfrm>
          <a:off x="390525" y="219076"/>
          <a:ext cx="4178011" cy="761999"/>
          <a:chOff x="600075" y="209551"/>
          <a:chExt cx="2628900" cy="714374"/>
        </a:xfrm>
      </xdr:grpSpPr>
      <xdr:sp macro="" textlink="">
        <xdr:nvSpPr>
          <xdr:cNvPr id="3" name="TextBox 7">
            <a:extLst>
              <a:ext uri="{FF2B5EF4-FFF2-40B4-BE49-F238E27FC236}">
                <a16:creationId xmlns:a16="http://schemas.microsoft.com/office/drawing/2014/main" id="{00000000-0008-0000-0000-000003000000}"/>
              </a:ext>
            </a:extLst>
          </xdr:cNvPr>
          <xdr:cNvSpPr txBox="1"/>
        </xdr:nvSpPr>
        <xdr:spPr>
          <a:xfrm>
            <a:off x="600075" y="209551"/>
            <a:ext cx="2628900"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pic>
        <xdr:nvPicPr>
          <xdr:cNvPr id="4" name="Billede 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4" y="238122"/>
            <a:ext cx="2527492" cy="650159"/>
          </a:xfrm>
          <a:prstGeom prst="rect">
            <a:avLst/>
          </a:prstGeom>
        </xdr:spPr>
      </xdr:pic>
    </xdr:grpSp>
    <xdr:clientData/>
  </xdr:twoCellAnchor>
  <xdr:twoCellAnchor>
    <xdr:from>
      <xdr:col>9</xdr:col>
      <xdr:colOff>1362694</xdr:colOff>
      <xdr:row>1</xdr:row>
      <xdr:rowOff>70387</xdr:rowOff>
    </xdr:from>
    <xdr:to>
      <xdr:col>19</xdr:col>
      <xdr:colOff>55789</xdr:colOff>
      <xdr:row>6</xdr:row>
      <xdr:rowOff>70387</xdr:rowOff>
    </xdr:to>
    <xdr:grpSp>
      <xdr:nvGrpSpPr>
        <xdr:cNvPr id="5" name="Group 6">
          <a:extLst>
            <a:ext uri="{FF2B5EF4-FFF2-40B4-BE49-F238E27FC236}">
              <a16:creationId xmlns:a16="http://schemas.microsoft.com/office/drawing/2014/main" id="{00000000-0008-0000-0000-000005000000}"/>
            </a:ext>
          </a:extLst>
        </xdr:cNvPr>
        <xdr:cNvGrpSpPr>
          <a:grpSpLocks noChangeAspect="1"/>
        </xdr:cNvGrpSpPr>
      </xdr:nvGrpSpPr>
      <xdr:grpSpPr>
        <a:xfrm>
          <a:off x="5248894" y="222787"/>
          <a:ext cx="5741595" cy="762000"/>
          <a:chOff x="4733925" y="200025"/>
          <a:chExt cx="4248150" cy="714375"/>
        </a:xfrm>
      </xdr:grpSpPr>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733925" y="200025"/>
            <a:ext cx="424815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pic>
        <xdr:nvPicPr>
          <xdr:cNvPr id="7" name="Billede 7">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9640" y="266700"/>
            <a:ext cx="575945" cy="575945"/>
          </a:xfrm>
          <a:prstGeom prst="rect">
            <a:avLst/>
          </a:prstGeom>
        </xdr:spPr>
      </xdr:pic>
      <xdr:pic>
        <xdr:nvPicPr>
          <xdr:cNvPr id="8" name="Billede 8">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29170" y="292735"/>
            <a:ext cx="1619885" cy="579755"/>
          </a:xfrm>
          <a:prstGeom prst="rect">
            <a:avLst/>
          </a:prstGeom>
        </xdr:spPr>
      </xdr:pic>
      <xdr:pic>
        <xdr:nvPicPr>
          <xdr:cNvPr id="9" name="Billed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34025" y="290830"/>
            <a:ext cx="1616075" cy="488315"/>
          </a:xfrm>
          <a:prstGeom prst="rect">
            <a:avLst/>
          </a:prstGeom>
        </xdr:spPr>
      </xdr:pic>
    </xdr:grpSp>
    <xdr:clientData/>
  </xdr:twoCellAnchor>
  <xdr:twoCellAnchor>
    <xdr:from>
      <xdr:col>2</xdr:col>
      <xdr:colOff>9525</xdr:colOff>
      <xdr:row>1</xdr:row>
      <xdr:rowOff>66676</xdr:rowOff>
    </xdr:from>
    <xdr:to>
      <xdr:col>9</xdr:col>
      <xdr:colOff>1368136</xdr:colOff>
      <xdr:row>6</xdr:row>
      <xdr:rowOff>66675</xdr:rowOff>
    </xdr:to>
    <xdr:grpSp>
      <xdr:nvGrpSpPr>
        <xdr:cNvPr id="10" name="Group 8">
          <a:extLst>
            <a:ext uri="{FF2B5EF4-FFF2-40B4-BE49-F238E27FC236}">
              <a16:creationId xmlns:a16="http://schemas.microsoft.com/office/drawing/2014/main" id="{00000000-0008-0000-0000-00000A000000}"/>
            </a:ext>
          </a:extLst>
        </xdr:cNvPr>
        <xdr:cNvGrpSpPr/>
      </xdr:nvGrpSpPr>
      <xdr:grpSpPr>
        <a:xfrm>
          <a:off x="390525" y="219076"/>
          <a:ext cx="4863811" cy="761999"/>
          <a:chOff x="600075" y="209551"/>
          <a:chExt cx="2628900" cy="714374"/>
        </a:xfrm>
      </xdr:grpSpPr>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00075" y="209551"/>
            <a:ext cx="2628900"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pic>
        <xdr:nvPicPr>
          <xdr:cNvPr id="12" name="Billede 5">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4" y="238122"/>
            <a:ext cx="2527492" cy="650159"/>
          </a:xfrm>
          <a:prstGeom prst="rect">
            <a:avLst/>
          </a:prstGeom>
        </xdr:spPr>
      </xdr:pic>
    </xdr:grpSp>
    <xdr:clientData/>
  </xdr:twoCellAnchor>
  <xdr:twoCellAnchor>
    <xdr:from>
      <xdr:col>2</xdr:col>
      <xdr:colOff>9525</xdr:colOff>
      <xdr:row>1</xdr:row>
      <xdr:rowOff>66676</xdr:rowOff>
    </xdr:from>
    <xdr:to>
      <xdr:col>9</xdr:col>
      <xdr:colOff>1368136</xdr:colOff>
      <xdr:row>6</xdr:row>
      <xdr:rowOff>66675</xdr:rowOff>
    </xdr:to>
    <xdr:grpSp>
      <xdr:nvGrpSpPr>
        <xdr:cNvPr id="13" name="Group 8">
          <a:extLst>
            <a:ext uri="{FF2B5EF4-FFF2-40B4-BE49-F238E27FC236}">
              <a16:creationId xmlns:a16="http://schemas.microsoft.com/office/drawing/2014/main" id="{00000000-0008-0000-0000-00000D000000}"/>
            </a:ext>
          </a:extLst>
        </xdr:cNvPr>
        <xdr:cNvGrpSpPr/>
      </xdr:nvGrpSpPr>
      <xdr:grpSpPr>
        <a:xfrm>
          <a:off x="390525" y="219076"/>
          <a:ext cx="4863811" cy="761999"/>
          <a:chOff x="600075" y="209551"/>
          <a:chExt cx="2628900" cy="714374"/>
        </a:xfrm>
      </xdr:grpSpPr>
      <xdr:sp macro="" textlink="">
        <xdr:nvSpPr>
          <xdr:cNvPr id="14" name="TextBox 7">
            <a:extLst>
              <a:ext uri="{FF2B5EF4-FFF2-40B4-BE49-F238E27FC236}">
                <a16:creationId xmlns:a16="http://schemas.microsoft.com/office/drawing/2014/main" id="{00000000-0008-0000-0000-00000E000000}"/>
              </a:ext>
            </a:extLst>
          </xdr:cNvPr>
          <xdr:cNvSpPr txBox="1"/>
        </xdr:nvSpPr>
        <xdr:spPr>
          <a:xfrm>
            <a:off x="600075" y="209551"/>
            <a:ext cx="2628900"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pic>
        <xdr:nvPicPr>
          <xdr:cNvPr id="15" name="Billede 5">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4" y="238122"/>
            <a:ext cx="2527492" cy="65015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241524</xdr:colOff>
      <xdr:row>1</xdr:row>
      <xdr:rowOff>82997</xdr:rowOff>
    </xdr:from>
    <xdr:to>
      <xdr:col>10</xdr:col>
      <xdr:colOff>136661</xdr:colOff>
      <xdr:row>6</xdr:row>
      <xdr:rowOff>83405</xdr:rowOff>
    </xdr:to>
    <xdr:pic>
      <xdr:nvPicPr>
        <xdr:cNvPr id="2" name="Billede 5" descr="Bæredygtig bundlinje -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874" y="229047"/>
          <a:ext cx="5057687" cy="730658"/>
        </a:xfrm>
        <a:prstGeom prst="rect">
          <a:avLst/>
        </a:prstGeom>
        <a:solidFill>
          <a:schemeClr val="bg1"/>
        </a:solidFill>
        <a:ln>
          <a:solidFill>
            <a:sysClr val="windowText" lastClr="000000"/>
          </a:solidFill>
        </a:ln>
      </xdr:spPr>
    </xdr:pic>
    <xdr:clientData/>
  </xdr:twoCellAnchor>
  <xdr:twoCellAnchor>
    <xdr:from>
      <xdr:col>10</xdr:col>
      <xdr:colOff>1070144</xdr:colOff>
      <xdr:row>1</xdr:row>
      <xdr:rowOff>70387</xdr:rowOff>
    </xdr:from>
    <xdr:to>
      <xdr:col>17</xdr:col>
      <xdr:colOff>106198</xdr:colOff>
      <xdr:row>6</xdr:row>
      <xdr:rowOff>70387</xdr:rowOff>
    </xdr:to>
    <xdr:grpSp>
      <xdr:nvGrpSpPr>
        <xdr:cNvPr id="7" name="Group 6" descr="Logoer til Vækstforum Hovedstaden, Region Hovedstaden og Den Europæiske Fond for Regionaludvikling">
          <a:extLst>
            <a:ext uri="{FF2B5EF4-FFF2-40B4-BE49-F238E27FC236}">
              <a16:creationId xmlns:a16="http://schemas.microsoft.com/office/drawing/2014/main" id="{00000000-0008-0000-0200-000007000000}"/>
            </a:ext>
          </a:extLst>
        </xdr:cNvPr>
        <xdr:cNvGrpSpPr>
          <a:grpSpLocks noChangeAspect="1"/>
        </xdr:cNvGrpSpPr>
      </xdr:nvGrpSpPr>
      <xdr:grpSpPr>
        <a:xfrm>
          <a:off x="8271044" y="213262"/>
          <a:ext cx="4217654" cy="714375"/>
          <a:chOff x="4733925" y="200025"/>
          <a:chExt cx="4248150" cy="714375"/>
        </a:xfrm>
      </xdr:grpSpPr>
      <xdr:sp macro="" textlink="">
        <xdr:nvSpPr>
          <xdr:cNvPr id="6" name="TextBox 5">
            <a:extLst>
              <a:ext uri="{FF2B5EF4-FFF2-40B4-BE49-F238E27FC236}">
                <a16:creationId xmlns:a16="http://schemas.microsoft.com/office/drawing/2014/main" id="{00000000-0008-0000-0200-000006000000}"/>
              </a:ext>
              <a:ext uri="{C183D7F6-B498-43B3-948B-1728B52AA6E4}">
                <adec:decorative xmlns:adec="http://schemas.microsoft.com/office/drawing/2017/decorative" val="1"/>
              </a:ext>
            </a:extLst>
          </xdr:cNvPr>
          <xdr:cNvSpPr txBox="1"/>
        </xdr:nvSpPr>
        <xdr:spPr>
          <a:xfrm>
            <a:off x="4733925" y="200025"/>
            <a:ext cx="4248150" cy="714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pic>
        <xdr:nvPicPr>
          <xdr:cNvPr id="3" name="Billede 7">
            <a:extLst>
              <a:ext uri="{FF2B5EF4-FFF2-40B4-BE49-F238E27FC236}">
                <a16:creationId xmlns:a16="http://schemas.microsoft.com/office/drawing/2014/main" id="{00000000-0008-0000-0200-000003000000}"/>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9640" y="266700"/>
            <a:ext cx="575945" cy="575945"/>
          </a:xfrm>
          <a:prstGeom prst="rect">
            <a:avLst/>
          </a:prstGeom>
        </xdr:spPr>
      </xdr:pic>
      <xdr:pic>
        <xdr:nvPicPr>
          <xdr:cNvPr id="4" name="Billede 8">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29170" y="292735"/>
            <a:ext cx="1619885" cy="579755"/>
          </a:xfrm>
          <a:prstGeom prst="rect">
            <a:avLst/>
          </a:prstGeom>
        </xdr:spPr>
      </xdr:pic>
      <xdr:pic>
        <xdr:nvPicPr>
          <xdr:cNvPr id="5" name="Billede 9">
            <a:extLst>
              <a:ext uri="{FF2B5EF4-FFF2-40B4-BE49-F238E27FC236}">
                <a16:creationId xmlns:a16="http://schemas.microsoft.com/office/drawing/2014/main" id="{00000000-0008-0000-0200-000005000000}"/>
              </a:ext>
              <a:ext uri="{C183D7F6-B498-43B3-948B-1728B52AA6E4}">
                <adec:decorative xmlns:adec="http://schemas.microsoft.com/office/drawing/2017/decorative" val="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34025" y="290830"/>
            <a:ext cx="1616075" cy="48831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22602</xdr:colOff>
      <xdr:row>8</xdr:row>
      <xdr:rowOff>3229</xdr:rowOff>
    </xdr:from>
    <xdr:to>
      <xdr:col>3</xdr:col>
      <xdr:colOff>665136</xdr:colOff>
      <xdr:row>9</xdr:row>
      <xdr:rowOff>6457</xdr:rowOff>
    </xdr:to>
    <xdr:sp macro="" textlink="">
      <xdr:nvSpPr>
        <xdr:cNvPr id="3" name="Right Arrow 2">
          <a:extLst>
            <a:ext uri="{FF2B5EF4-FFF2-40B4-BE49-F238E27FC236}">
              <a16:creationId xmlns:a16="http://schemas.microsoft.com/office/drawing/2014/main" id="{00000000-0008-0000-0C00-000003000000}"/>
            </a:ext>
            <a:ext uri="{C183D7F6-B498-43B3-948B-1728B52AA6E4}">
              <adec:decorative xmlns:adec="http://schemas.microsoft.com/office/drawing/2017/decorative" val="1"/>
            </a:ext>
          </a:extLst>
        </xdr:cNvPr>
        <xdr:cNvSpPr/>
      </xdr:nvSpPr>
      <xdr:spPr>
        <a:xfrm>
          <a:off x="1391619" y="713568"/>
          <a:ext cx="642534" cy="145296"/>
        </a:xfrm>
        <a:prstGeom prst="rightArrow">
          <a:avLst/>
        </a:prstGeom>
        <a:solidFill>
          <a:schemeClr val="accent5">
            <a:lumMod val="40000"/>
            <a:lumOff val="60000"/>
          </a:schemeClr>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19373</xdr:colOff>
      <xdr:row>13</xdr:row>
      <xdr:rowOff>0</xdr:rowOff>
    </xdr:from>
    <xdr:to>
      <xdr:col>3</xdr:col>
      <xdr:colOff>668365</xdr:colOff>
      <xdr:row>14</xdr:row>
      <xdr:rowOff>3228</xdr:rowOff>
    </xdr:to>
    <xdr:sp macro="" textlink="">
      <xdr:nvSpPr>
        <xdr:cNvPr id="4" name="Right Arrow 3">
          <a:extLst>
            <a:ext uri="{FF2B5EF4-FFF2-40B4-BE49-F238E27FC236}">
              <a16:creationId xmlns:a16="http://schemas.microsoft.com/office/drawing/2014/main" id="{00000000-0008-0000-0C00-000004000000}"/>
            </a:ext>
            <a:ext uri="{C183D7F6-B498-43B3-948B-1728B52AA6E4}">
              <adec:decorative xmlns:adec="http://schemas.microsoft.com/office/drawing/2017/decorative" val="1"/>
            </a:ext>
          </a:extLst>
        </xdr:cNvPr>
        <xdr:cNvSpPr/>
      </xdr:nvSpPr>
      <xdr:spPr>
        <a:xfrm>
          <a:off x="1388390" y="1420678"/>
          <a:ext cx="648992" cy="145296"/>
        </a:xfrm>
        <a:prstGeom prst="rightArrow">
          <a:avLst/>
        </a:prstGeom>
        <a:solidFill>
          <a:schemeClr val="accent5">
            <a:lumMod val="40000"/>
            <a:lumOff val="60000"/>
          </a:schemeClr>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19374</xdr:colOff>
      <xdr:row>19</xdr:row>
      <xdr:rowOff>0</xdr:rowOff>
    </xdr:from>
    <xdr:to>
      <xdr:col>3</xdr:col>
      <xdr:colOff>668366</xdr:colOff>
      <xdr:row>20</xdr:row>
      <xdr:rowOff>3228</xdr:rowOff>
    </xdr:to>
    <xdr:sp macro="" textlink="">
      <xdr:nvSpPr>
        <xdr:cNvPr id="5" name="Right Arrow 4">
          <a:extLst>
            <a:ext uri="{FF2B5EF4-FFF2-40B4-BE49-F238E27FC236}">
              <a16:creationId xmlns:a16="http://schemas.microsoft.com/office/drawing/2014/main" id="{00000000-0008-0000-0C00-000005000000}"/>
            </a:ext>
            <a:ext uri="{C183D7F6-B498-43B3-948B-1728B52AA6E4}">
              <adec:decorative xmlns:adec="http://schemas.microsoft.com/office/drawing/2017/decorative" val="1"/>
            </a:ext>
          </a:extLst>
        </xdr:cNvPr>
        <xdr:cNvSpPr/>
      </xdr:nvSpPr>
      <xdr:spPr>
        <a:xfrm>
          <a:off x="1388391" y="2131017"/>
          <a:ext cx="648992" cy="145296"/>
        </a:xfrm>
        <a:prstGeom prst="rightArrow">
          <a:avLst/>
        </a:prstGeom>
        <a:solidFill>
          <a:schemeClr val="accent5">
            <a:lumMod val="40000"/>
            <a:lumOff val="60000"/>
          </a:schemeClr>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29061</xdr:colOff>
      <xdr:row>24</xdr:row>
      <xdr:rowOff>0</xdr:rowOff>
    </xdr:from>
    <xdr:to>
      <xdr:col>3</xdr:col>
      <xdr:colOff>678053</xdr:colOff>
      <xdr:row>25</xdr:row>
      <xdr:rowOff>3228</xdr:rowOff>
    </xdr:to>
    <xdr:sp macro="" textlink="">
      <xdr:nvSpPr>
        <xdr:cNvPr id="6" name="Right Arrow 5">
          <a:extLst>
            <a:ext uri="{FF2B5EF4-FFF2-40B4-BE49-F238E27FC236}">
              <a16:creationId xmlns:a16="http://schemas.microsoft.com/office/drawing/2014/main" id="{00000000-0008-0000-0C00-000006000000}"/>
            </a:ext>
            <a:ext uri="{C183D7F6-B498-43B3-948B-1728B52AA6E4}">
              <adec:decorative xmlns:adec="http://schemas.microsoft.com/office/drawing/2017/decorative" val="1"/>
            </a:ext>
          </a:extLst>
        </xdr:cNvPr>
        <xdr:cNvSpPr/>
      </xdr:nvSpPr>
      <xdr:spPr>
        <a:xfrm>
          <a:off x="1398078" y="2841356"/>
          <a:ext cx="648992" cy="145296"/>
        </a:xfrm>
        <a:prstGeom prst="rightArrow">
          <a:avLst/>
        </a:prstGeom>
        <a:solidFill>
          <a:schemeClr val="accent5">
            <a:lumMod val="40000"/>
            <a:lumOff val="60000"/>
          </a:schemeClr>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387:D396" totalsRowShown="0" headerRowDxfId="2" dataDxfId="1">
  <autoFilter ref="D387:D396" xr:uid="{00000000-0009-0000-0100-000001000000}"/>
  <tableColumns count="1">
    <tableColumn id="1" xr3:uid="{00000000-0010-0000-0000-000001000000}" name="Column1" dataDxfId="0"/>
  </tableColumns>
  <tableStyleInfo name="TableStyleLight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hyperlink" Target="https://ens.dk/sites/ens.dk/files/CO2/standardfaktorer_for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126"/>
  <sheetViews>
    <sheetView showGridLines="0" showZeros="0" view="pageBreakPreview" topLeftCell="A7" zoomScale="50" zoomScaleNormal="70" zoomScaleSheetLayoutView="50" zoomScalePageLayoutView="70" workbookViewId="0">
      <selection activeCell="D40" sqref="D40:J63"/>
    </sheetView>
  </sheetViews>
  <sheetFormatPr defaultColWidth="8.75" defaultRowHeight="11.25" x14ac:dyDescent="0.15"/>
  <cols>
    <col min="1" max="1" width="1.75" style="313" customWidth="1"/>
    <col min="2" max="2" width="3.125" style="313" customWidth="1"/>
    <col min="3" max="3" width="1.75" style="313" customWidth="1"/>
    <col min="4" max="4" width="13" style="313" customWidth="1"/>
    <col min="5" max="5" width="12.75" style="313" customWidth="1"/>
    <col min="6" max="6" width="1.75" style="313" customWidth="1"/>
    <col min="7" max="7" width="7.125" style="313" customWidth="1"/>
    <col min="8" max="8" width="7.75" style="313" customWidth="1"/>
    <col min="9" max="9" width="1.75" style="313" customWidth="1"/>
    <col min="10" max="10" width="19" style="313" customWidth="1"/>
    <col min="11" max="11" width="2.75" style="313" customWidth="1"/>
    <col min="12" max="12" width="16.125" style="313" customWidth="1"/>
    <col min="13" max="13" width="1.75" style="313" customWidth="1"/>
    <col min="14" max="14" width="15.75" style="313" bestFit="1" customWidth="1"/>
    <col min="15" max="15" width="2.125" style="313" customWidth="1"/>
    <col min="16" max="16" width="15.75" style="313" bestFit="1" customWidth="1"/>
    <col min="17" max="17" width="1.75" style="313" customWidth="1"/>
    <col min="18" max="18" width="15.75" style="313" bestFit="1" customWidth="1"/>
    <col min="19" max="19" width="1.5" style="313" customWidth="1"/>
    <col min="20" max="20" width="3.125" style="313" customWidth="1"/>
    <col min="21" max="21" width="1.75" style="313" customWidth="1"/>
    <col min="22" max="16384" width="8.75" style="313"/>
  </cols>
  <sheetData>
    <row r="2" spans="2:22" ht="11.25" customHeight="1" x14ac:dyDescent="0.15"/>
    <row r="3" spans="2:22" ht="11.25" customHeight="1" x14ac:dyDescent="0.15">
      <c r="V3" s="313" t="s">
        <v>0</v>
      </c>
    </row>
    <row r="4" spans="2:22" ht="11.25" customHeight="1" x14ac:dyDescent="0.15">
      <c r="D4" s="334"/>
      <c r="R4" s="335"/>
      <c r="S4" s="335"/>
    </row>
    <row r="5" spans="2:22" ht="11.25" customHeight="1" x14ac:dyDescent="0.15">
      <c r="D5" s="334"/>
      <c r="R5" s="335"/>
      <c r="S5" s="335"/>
    </row>
    <row r="6" spans="2:22" ht="11.25" customHeight="1" x14ac:dyDescent="0.15">
      <c r="D6" s="334"/>
      <c r="R6" s="335"/>
      <c r="S6" s="335"/>
    </row>
    <row r="7" spans="2:22" ht="11.25" customHeight="1" x14ac:dyDescent="0.15">
      <c r="D7" s="334"/>
      <c r="R7" s="335"/>
      <c r="S7" s="335"/>
    </row>
    <row r="8" spans="2:22" ht="11.25" customHeight="1" x14ac:dyDescent="0.15">
      <c r="C8" s="608" t="s">
        <v>1</v>
      </c>
      <c r="D8" s="609"/>
      <c r="E8" s="609"/>
      <c r="F8" s="609"/>
      <c r="G8" s="609"/>
      <c r="H8" s="609"/>
      <c r="I8" s="609"/>
      <c r="J8" s="609"/>
      <c r="K8" s="609"/>
      <c r="L8" s="609"/>
      <c r="M8" s="609"/>
      <c r="N8" s="609"/>
      <c r="O8" s="609"/>
      <c r="P8" s="609"/>
      <c r="Q8" s="609"/>
      <c r="R8" s="609"/>
      <c r="S8" s="610"/>
      <c r="T8" s="336"/>
    </row>
    <row r="9" spans="2:22" ht="11.25" customHeight="1" x14ac:dyDescent="0.15">
      <c r="C9" s="611"/>
      <c r="D9" s="612"/>
      <c r="E9" s="612"/>
      <c r="F9" s="612"/>
      <c r="G9" s="612"/>
      <c r="H9" s="612"/>
      <c r="I9" s="612"/>
      <c r="J9" s="612"/>
      <c r="K9" s="612"/>
      <c r="L9" s="612"/>
      <c r="M9" s="612"/>
      <c r="N9" s="612"/>
      <c r="O9" s="612"/>
      <c r="P9" s="612"/>
      <c r="Q9" s="612"/>
      <c r="R9" s="612"/>
      <c r="S9" s="613"/>
      <c r="T9" s="336"/>
    </row>
    <row r="10" spans="2:22" ht="11.25" customHeight="1" x14ac:dyDescent="0.15">
      <c r="C10" s="318"/>
      <c r="D10" s="337"/>
      <c r="E10" s="318"/>
      <c r="F10" s="318"/>
      <c r="G10" s="318"/>
      <c r="H10" s="318"/>
      <c r="I10" s="318"/>
      <c r="J10" s="318"/>
      <c r="K10" s="318"/>
      <c r="L10" s="318"/>
      <c r="M10" s="318"/>
      <c r="N10" s="318"/>
      <c r="O10" s="318"/>
      <c r="P10" s="318"/>
      <c r="Q10" s="318"/>
      <c r="R10" s="338"/>
      <c r="S10" s="338"/>
      <c r="T10" s="318"/>
    </row>
    <row r="11" spans="2:22" ht="3.75" customHeight="1" x14ac:dyDescent="0.15">
      <c r="B11" s="318"/>
      <c r="C11" s="318"/>
      <c r="D11" s="337"/>
      <c r="E11" s="318"/>
      <c r="F11" s="318"/>
      <c r="G11" s="318"/>
      <c r="H11" s="318"/>
      <c r="I11" s="318"/>
      <c r="J11" s="318"/>
      <c r="K11" s="318"/>
      <c r="L11" s="318"/>
      <c r="M11" s="318"/>
      <c r="N11" s="318"/>
      <c r="O11" s="318"/>
      <c r="P11" s="318"/>
      <c r="Q11" s="318"/>
      <c r="R11" s="338"/>
      <c r="S11" s="338"/>
      <c r="T11" s="318"/>
    </row>
    <row r="12" spans="2:22" ht="3.75" customHeight="1" x14ac:dyDescent="0.15"/>
    <row r="15" spans="2:22" ht="12.75" x14ac:dyDescent="0.15">
      <c r="D15" s="614" t="s">
        <v>2</v>
      </c>
      <c r="E15" s="615"/>
      <c r="F15" s="615"/>
      <c r="G15" s="615"/>
      <c r="H15" s="615"/>
      <c r="I15" s="615"/>
      <c r="J15" s="616"/>
      <c r="L15" s="614" t="s">
        <v>3</v>
      </c>
      <c r="M15" s="615"/>
      <c r="N15" s="615"/>
      <c r="O15" s="615"/>
      <c r="P15" s="615"/>
      <c r="Q15" s="615"/>
      <c r="R15" s="616"/>
      <c r="T15" s="339"/>
    </row>
    <row r="16" spans="2:22" ht="12.75" x14ac:dyDescent="0.15">
      <c r="D16" s="617"/>
      <c r="E16" s="618"/>
      <c r="F16" s="618"/>
      <c r="G16" s="618"/>
      <c r="H16" s="618"/>
      <c r="I16" s="618"/>
      <c r="J16" s="619"/>
      <c r="L16" s="617"/>
      <c r="M16" s="618"/>
      <c r="N16" s="618"/>
      <c r="O16" s="618"/>
      <c r="P16" s="618"/>
      <c r="Q16" s="618"/>
      <c r="R16" s="619"/>
      <c r="T16" s="339"/>
    </row>
    <row r="17" spans="4:23" x14ac:dyDescent="0.15">
      <c r="D17" s="617"/>
      <c r="E17" s="618"/>
      <c r="F17" s="618"/>
      <c r="G17" s="618"/>
      <c r="H17" s="618"/>
      <c r="I17" s="618"/>
      <c r="J17" s="619"/>
      <c r="L17" s="617"/>
      <c r="M17" s="618"/>
      <c r="N17" s="618"/>
      <c r="O17" s="618"/>
      <c r="P17" s="618"/>
      <c r="Q17" s="618"/>
      <c r="R17" s="619"/>
    </row>
    <row r="18" spans="4:23" ht="11.25" customHeight="1" x14ac:dyDescent="0.15">
      <c r="D18" s="617"/>
      <c r="E18" s="618"/>
      <c r="F18" s="618"/>
      <c r="G18" s="618"/>
      <c r="H18" s="618"/>
      <c r="I18" s="618"/>
      <c r="J18" s="619"/>
      <c r="L18" s="617"/>
      <c r="M18" s="618"/>
      <c r="N18" s="618"/>
      <c r="O18" s="618"/>
      <c r="P18" s="618"/>
      <c r="Q18" s="618"/>
      <c r="R18" s="619"/>
    </row>
    <row r="19" spans="4:23" ht="11.25" customHeight="1" x14ac:dyDescent="0.15">
      <c r="D19" s="617"/>
      <c r="E19" s="618"/>
      <c r="F19" s="618"/>
      <c r="G19" s="618"/>
      <c r="H19" s="618"/>
      <c r="I19" s="618"/>
      <c r="J19" s="619"/>
      <c r="L19" s="617"/>
      <c r="M19" s="618"/>
      <c r="N19" s="618"/>
      <c r="O19" s="618"/>
      <c r="P19" s="618"/>
      <c r="Q19" s="618"/>
      <c r="R19" s="619"/>
    </row>
    <row r="20" spans="4:23" x14ac:dyDescent="0.15">
      <c r="D20" s="617"/>
      <c r="E20" s="618"/>
      <c r="F20" s="618"/>
      <c r="G20" s="618"/>
      <c r="H20" s="618"/>
      <c r="I20" s="618"/>
      <c r="J20" s="619"/>
      <c r="L20" s="617"/>
      <c r="M20" s="618"/>
      <c r="N20" s="618"/>
      <c r="O20" s="618"/>
      <c r="P20" s="618"/>
      <c r="Q20" s="618"/>
      <c r="R20" s="619"/>
      <c r="T20" s="340"/>
    </row>
    <row r="21" spans="4:23" ht="11.25" customHeight="1" x14ac:dyDescent="0.15">
      <c r="D21" s="617"/>
      <c r="E21" s="618"/>
      <c r="F21" s="618"/>
      <c r="G21" s="618"/>
      <c r="H21" s="618"/>
      <c r="I21" s="618"/>
      <c r="J21" s="619"/>
      <c r="L21" s="617"/>
      <c r="M21" s="618"/>
      <c r="N21" s="618"/>
      <c r="O21" s="618"/>
      <c r="P21" s="618"/>
      <c r="Q21" s="618"/>
      <c r="R21" s="619"/>
    </row>
    <row r="22" spans="4:23" ht="11.25" customHeight="1" x14ac:dyDescent="0.15">
      <c r="D22" s="617"/>
      <c r="E22" s="618"/>
      <c r="F22" s="618"/>
      <c r="G22" s="618"/>
      <c r="H22" s="618"/>
      <c r="I22" s="618"/>
      <c r="J22" s="619"/>
      <c r="L22" s="617"/>
      <c r="M22" s="618"/>
      <c r="N22" s="618"/>
      <c r="O22" s="618"/>
      <c r="P22" s="618"/>
      <c r="Q22" s="618"/>
      <c r="R22" s="619"/>
      <c r="W22" s="313" t="s">
        <v>4</v>
      </c>
    </row>
    <row r="23" spans="4:23" x14ac:dyDescent="0.15">
      <c r="D23" s="617"/>
      <c r="E23" s="618"/>
      <c r="F23" s="618"/>
      <c r="G23" s="618"/>
      <c r="H23" s="618"/>
      <c r="I23" s="618"/>
      <c r="J23" s="619"/>
      <c r="L23" s="617"/>
      <c r="M23" s="618"/>
      <c r="N23" s="618"/>
      <c r="O23" s="618"/>
      <c r="P23" s="618"/>
      <c r="Q23" s="618"/>
      <c r="R23" s="619"/>
      <c r="T23" s="341"/>
    </row>
    <row r="24" spans="4:23" x14ac:dyDescent="0.15">
      <c r="D24" s="617"/>
      <c r="E24" s="618"/>
      <c r="F24" s="618"/>
      <c r="G24" s="618"/>
      <c r="H24" s="618"/>
      <c r="I24" s="618"/>
      <c r="J24" s="619"/>
      <c r="L24" s="617"/>
      <c r="M24" s="618"/>
      <c r="N24" s="618"/>
      <c r="O24" s="618"/>
      <c r="P24" s="618"/>
      <c r="Q24" s="618"/>
      <c r="R24" s="619"/>
      <c r="T24" s="341"/>
    </row>
    <row r="25" spans="4:23" x14ac:dyDescent="0.15">
      <c r="D25" s="617"/>
      <c r="E25" s="618"/>
      <c r="F25" s="618"/>
      <c r="G25" s="618"/>
      <c r="H25" s="618"/>
      <c r="I25" s="618"/>
      <c r="J25" s="619"/>
      <c r="L25" s="617"/>
      <c r="M25" s="618"/>
      <c r="N25" s="618"/>
      <c r="O25" s="618"/>
      <c r="P25" s="618"/>
      <c r="Q25" s="618"/>
      <c r="R25" s="619"/>
      <c r="T25" s="341"/>
    </row>
    <row r="26" spans="4:23" x14ac:dyDescent="0.15">
      <c r="D26" s="617"/>
      <c r="E26" s="618"/>
      <c r="F26" s="618"/>
      <c r="G26" s="618"/>
      <c r="H26" s="618"/>
      <c r="I26" s="618"/>
      <c r="J26" s="619"/>
      <c r="L26" s="617"/>
      <c r="M26" s="618"/>
      <c r="N26" s="618"/>
      <c r="O26" s="618"/>
      <c r="P26" s="618"/>
      <c r="Q26" s="618"/>
      <c r="R26" s="619"/>
    </row>
    <row r="27" spans="4:23" x14ac:dyDescent="0.15">
      <c r="D27" s="617"/>
      <c r="E27" s="618"/>
      <c r="F27" s="618"/>
      <c r="G27" s="618"/>
      <c r="H27" s="618"/>
      <c r="I27" s="618"/>
      <c r="J27" s="619"/>
      <c r="L27" s="617"/>
      <c r="M27" s="618"/>
      <c r="N27" s="618"/>
      <c r="O27" s="618"/>
      <c r="P27" s="618"/>
      <c r="Q27" s="618"/>
      <c r="R27" s="619"/>
      <c r="T27" s="341"/>
    </row>
    <row r="28" spans="4:23" x14ac:dyDescent="0.15">
      <c r="D28" s="617"/>
      <c r="E28" s="618"/>
      <c r="F28" s="618"/>
      <c r="G28" s="618"/>
      <c r="H28" s="618"/>
      <c r="I28" s="618"/>
      <c r="J28" s="619"/>
      <c r="L28" s="617"/>
      <c r="M28" s="618"/>
      <c r="N28" s="618"/>
      <c r="O28" s="618"/>
      <c r="P28" s="618"/>
      <c r="Q28" s="618"/>
      <c r="R28" s="619"/>
    </row>
    <row r="29" spans="4:23" x14ac:dyDescent="0.15">
      <c r="D29" s="617"/>
      <c r="E29" s="618"/>
      <c r="F29" s="618"/>
      <c r="G29" s="618"/>
      <c r="H29" s="618"/>
      <c r="I29" s="618"/>
      <c r="J29" s="619"/>
      <c r="L29" s="617"/>
      <c r="M29" s="618"/>
      <c r="N29" s="618"/>
      <c r="O29" s="618"/>
      <c r="P29" s="618"/>
      <c r="Q29" s="618"/>
      <c r="R29" s="619"/>
      <c r="T29" s="341"/>
    </row>
    <row r="30" spans="4:23" x14ac:dyDescent="0.15">
      <c r="D30" s="617"/>
      <c r="E30" s="618"/>
      <c r="F30" s="618"/>
      <c r="G30" s="618"/>
      <c r="H30" s="618"/>
      <c r="I30" s="618"/>
      <c r="J30" s="619"/>
      <c r="L30" s="617"/>
      <c r="M30" s="618"/>
      <c r="N30" s="618"/>
      <c r="O30" s="618"/>
      <c r="P30" s="618"/>
      <c r="Q30" s="618"/>
      <c r="R30" s="619"/>
    </row>
    <row r="31" spans="4:23" x14ac:dyDescent="0.15">
      <c r="D31" s="617"/>
      <c r="E31" s="618"/>
      <c r="F31" s="618"/>
      <c r="G31" s="618"/>
      <c r="H31" s="618"/>
      <c r="I31" s="618"/>
      <c r="J31" s="619"/>
      <c r="L31" s="617"/>
      <c r="M31" s="618"/>
      <c r="N31" s="618"/>
      <c r="O31" s="618"/>
      <c r="P31" s="618"/>
      <c r="Q31" s="618"/>
      <c r="R31" s="619"/>
      <c r="T31" s="341"/>
    </row>
    <row r="32" spans="4:23" ht="14.25" x14ac:dyDescent="0.15">
      <c r="D32" s="617"/>
      <c r="E32" s="618"/>
      <c r="F32" s="618"/>
      <c r="G32" s="618"/>
      <c r="H32" s="618"/>
      <c r="I32" s="618"/>
      <c r="J32" s="619"/>
      <c r="L32" s="617"/>
      <c r="M32" s="618"/>
      <c r="N32" s="618"/>
      <c r="O32" s="618"/>
      <c r="P32" s="618"/>
      <c r="Q32" s="618"/>
      <c r="R32" s="619"/>
      <c r="T32" s="342"/>
    </row>
    <row r="33" spans="1:21" ht="14.25" x14ac:dyDescent="0.15">
      <c r="D33" s="617"/>
      <c r="E33" s="618"/>
      <c r="F33" s="618"/>
      <c r="G33" s="618"/>
      <c r="H33" s="618"/>
      <c r="I33" s="618"/>
      <c r="J33" s="619"/>
      <c r="L33" s="617"/>
      <c r="M33" s="618"/>
      <c r="N33" s="618"/>
      <c r="O33" s="618"/>
      <c r="P33" s="618"/>
      <c r="Q33" s="618"/>
      <c r="R33" s="619"/>
      <c r="T33" s="343"/>
    </row>
    <row r="34" spans="1:21" x14ac:dyDescent="0.15">
      <c r="D34" s="617"/>
      <c r="E34" s="618"/>
      <c r="F34" s="618"/>
      <c r="G34" s="618"/>
      <c r="H34" s="618"/>
      <c r="I34" s="618"/>
      <c r="J34" s="619"/>
      <c r="L34" s="617"/>
      <c r="M34" s="618"/>
      <c r="N34" s="618"/>
      <c r="O34" s="618"/>
      <c r="P34" s="618"/>
      <c r="Q34" s="618"/>
      <c r="R34" s="619"/>
      <c r="T34" s="344"/>
    </row>
    <row r="35" spans="1:21" x14ac:dyDescent="0.15">
      <c r="D35" s="617"/>
      <c r="E35" s="618"/>
      <c r="F35" s="618"/>
      <c r="G35" s="618"/>
      <c r="H35" s="618"/>
      <c r="I35" s="618"/>
      <c r="J35" s="619"/>
      <c r="L35" s="617"/>
      <c r="M35" s="618"/>
      <c r="N35" s="618"/>
      <c r="O35" s="618"/>
      <c r="P35" s="618"/>
      <c r="Q35" s="618"/>
      <c r="R35" s="619"/>
    </row>
    <row r="36" spans="1:21" x14ac:dyDescent="0.15">
      <c r="B36" s="318"/>
      <c r="D36" s="617"/>
      <c r="E36" s="618"/>
      <c r="F36" s="618"/>
      <c r="G36" s="618"/>
      <c r="H36" s="618"/>
      <c r="I36" s="618"/>
      <c r="J36" s="619"/>
      <c r="L36" s="617"/>
      <c r="M36" s="618"/>
      <c r="N36" s="618"/>
      <c r="O36" s="618"/>
      <c r="P36" s="618"/>
      <c r="Q36" s="618"/>
      <c r="R36" s="619"/>
      <c r="T36" s="318"/>
    </row>
    <row r="37" spans="1:21" x14ac:dyDescent="0.15">
      <c r="D37" s="617"/>
      <c r="E37" s="618"/>
      <c r="F37" s="618"/>
      <c r="G37" s="618"/>
      <c r="H37" s="618"/>
      <c r="I37" s="618"/>
      <c r="J37" s="619"/>
      <c r="L37" s="617"/>
      <c r="M37" s="618"/>
      <c r="N37" s="618"/>
      <c r="O37" s="618"/>
      <c r="P37" s="618"/>
      <c r="Q37" s="618"/>
      <c r="R37" s="619"/>
      <c r="T37" s="345"/>
    </row>
    <row r="38" spans="1:21" ht="11.25" customHeight="1" x14ac:dyDescent="0.15">
      <c r="B38" s="318"/>
      <c r="D38" s="620"/>
      <c r="E38" s="621"/>
      <c r="F38" s="621"/>
      <c r="G38" s="621"/>
      <c r="H38" s="621"/>
      <c r="I38" s="621"/>
      <c r="J38" s="622"/>
      <c r="L38" s="620"/>
      <c r="M38" s="621"/>
      <c r="N38" s="621"/>
      <c r="O38" s="621"/>
      <c r="P38" s="621"/>
      <c r="Q38" s="621"/>
      <c r="R38" s="622"/>
      <c r="T38" s="318"/>
    </row>
    <row r="39" spans="1:21" ht="11.25" customHeight="1" x14ac:dyDescent="0.15">
      <c r="A39" s="318"/>
      <c r="B39" s="318"/>
      <c r="T39" s="318"/>
    </row>
    <row r="40" spans="1:21" ht="11.25" customHeight="1" x14ac:dyDescent="0.15">
      <c r="A40" s="318"/>
      <c r="B40" s="318"/>
      <c r="D40" s="614" t="s">
        <v>5</v>
      </c>
      <c r="E40" s="615"/>
      <c r="F40" s="615"/>
      <c r="G40" s="615"/>
      <c r="H40" s="615"/>
      <c r="I40" s="615"/>
      <c r="J40" s="616"/>
      <c r="L40" s="614" t="s">
        <v>6</v>
      </c>
      <c r="M40" s="615"/>
      <c r="N40" s="615"/>
      <c r="O40" s="615"/>
      <c r="P40" s="615"/>
      <c r="Q40" s="615"/>
      <c r="R40" s="616"/>
      <c r="T40" s="458"/>
    </row>
    <row r="41" spans="1:21" x14ac:dyDescent="0.15">
      <c r="A41" s="318"/>
      <c r="B41" s="318"/>
      <c r="D41" s="617"/>
      <c r="E41" s="618"/>
      <c r="F41" s="618"/>
      <c r="G41" s="618"/>
      <c r="H41" s="618"/>
      <c r="I41" s="618"/>
      <c r="J41" s="619"/>
      <c r="L41" s="617"/>
      <c r="M41" s="618"/>
      <c r="N41" s="618"/>
      <c r="O41" s="618"/>
      <c r="P41" s="618"/>
      <c r="Q41" s="618"/>
      <c r="R41" s="619"/>
      <c r="T41" s="458"/>
    </row>
    <row r="42" spans="1:21" ht="11.25" customHeight="1" x14ac:dyDescent="0.15">
      <c r="A42" s="318"/>
      <c r="B42" s="318"/>
      <c r="D42" s="617"/>
      <c r="E42" s="618"/>
      <c r="F42" s="618"/>
      <c r="G42" s="618"/>
      <c r="H42" s="618"/>
      <c r="I42" s="618"/>
      <c r="J42" s="619"/>
      <c r="L42" s="617"/>
      <c r="M42" s="618"/>
      <c r="N42" s="618"/>
      <c r="O42" s="618"/>
      <c r="P42" s="618"/>
      <c r="Q42" s="618"/>
      <c r="R42" s="619"/>
      <c r="T42" s="458"/>
      <c r="U42" s="318"/>
    </row>
    <row r="43" spans="1:21" x14ac:dyDescent="0.15">
      <c r="A43" s="318"/>
      <c r="B43" s="318"/>
      <c r="D43" s="617"/>
      <c r="E43" s="618"/>
      <c r="F43" s="618"/>
      <c r="G43" s="618"/>
      <c r="H43" s="618"/>
      <c r="I43" s="618"/>
      <c r="J43" s="619"/>
      <c r="L43" s="617"/>
      <c r="M43" s="618"/>
      <c r="N43" s="618"/>
      <c r="O43" s="618"/>
      <c r="P43" s="618"/>
      <c r="Q43" s="618"/>
      <c r="R43" s="619"/>
      <c r="U43" s="318"/>
    </row>
    <row r="44" spans="1:21" x14ac:dyDescent="0.15">
      <c r="A44" s="318"/>
      <c r="B44" s="318"/>
      <c r="D44" s="617"/>
      <c r="E44" s="618"/>
      <c r="F44" s="618"/>
      <c r="G44" s="618"/>
      <c r="H44" s="618"/>
      <c r="I44" s="618"/>
      <c r="J44" s="619"/>
      <c r="L44" s="617"/>
      <c r="M44" s="618"/>
      <c r="N44" s="618"/>
      <c r="O44" s="618"/>
      <c r="P44" s="618"/>
      <c r="Q44" s="618"/>
      <c r="R44" s="619"/>
      <c r="T44" s="457"/>
      <c r="U44" s="318"/>
    </row>
    <row r="45" spans="1:21" x14ac:dyDescent="0.15">
      <c r="A45" s="318"/>
      <c r="B45" s="318"/>
      <c r="D45" s="617"/>
      <c r="E45" s="618"/>
      <c r="F45" s="618"/>
      <c r="G45" s="618"/>
      <c r="H45" s="618"/>
      <c r="I45" s="618"/>
      <c r="J45" s="619"/>
      <c r="L45" s="617"/>
      <c r="M45" s="618"/>
      <c r="N45" s="618"/>
      <c r="O45" s="618"/>
      <c r="P45" s="618"/>
      <c r="Q45" s="618"/>
      <c r="R45" s="619"/>
      <c r="T45" s="346"/>
      <c r="U45" s="318"/>
    </row>
    <row r="46" spans="1:21" x14ac:dyDescent="0.15">
      <c r="A46" s="318"/>
      <c r="B46" s="318"/>
      <c r="D46" s="617"/>
      <c r="E46" s="618"/>
      <c r="F46" s="618"/>
      <c r="G46" s="618"/>
      <c r="H46" s="618"/>
      <c r="I46" s="618"/>
      <c r="J46" s="619"/>
      <c r="L46" s="617"/>
      <c r="M46" s="618"/>
      <c r="N46" s="618"/>
      <c r="O46" s="618"/>
      <c r="P46" s="618"/>
      <c r="Q46" s="618"/>
      <c r="R46" s="619"/>
      <c r="T46" s="346"/>
      <c r="U46" s="318"/>
    </row>
    <row r="47" spans="1:21" x14ac:dyDescent="0.15">
      <c r="A47" s="318"/>
      <c r="B47" s="318"/>
      <c r="D47" s="617"/>
      <c r="E47" s="618"/>
      <c r="F47" s="618"/>
      <c r="G47" s="618"/>
      <c r="H47" s="618"/>
      <c r="I47" s="618"/>
      <c r="J47" s="619"/>
      <c r="L47" s="617"/>
      <c r="M47" s="618"/>
      <c r="N47" s="618"/>
      <c r="O47" s="618"/>
      <c r="P47" s="618"/>
      <c r="Q47" s="618"/>
      <c r="R47" s="619"/>
      <c r="T47" s="346"/>
      <c r="U47" s="318"/>
    </row>
    <row r="48" spans="1:21" x14ac:dyDescent="0.15">
      <c r="A48" s="318"/>
      <c r="B48" s="318"/>
      <c r="D48" s="617"/>
      <c r="E48" s="618"/>
      <c r="F48" s="618"/>
      <c r="G48" s="618"/>
      <c r="H48" s="618"/>
      <c r="I48" s="618"/>
      <c r="J48" s="619"/>
      <c r="L48" s="617"/>
      <c r="M48" s="618"/>
      <c r="N48" s="618"/>
      <c r="O48" s="618"/>
      <c r="P48" s="618"/>
      <c r="Q48" s="618"/>
      <c r="R48" s="619"/>
      <c r="T48" s="346"/>
    </row>
    <row r="49" spans="1:20" x14ac:dyDescent="0.15">
      <c r="A49" s="318"/>
      <c r="B49" s="318"/>
      <c r="D49" s="617"/>
      <c r="E49" s="618"/>
      <c r="F49" s="618"/>
      <c r="G49" s="618"/>
      <c r="H49" s="618"/>
      <c r="I49" s="618"/>
      <c r="J49" s="619"/>
      <c r="L49" s="617"/>
      <c r="M49" s="618"/>
      <c r="N49" s="618"/>
      <c r="O49" s="618"/>
      <c r="P49" s="618"/>
      <c r="Q49" s="618"/>
      <c r="R49" s="619"/>
      <c r="T49" s="346"/>
    </row>
    <row r="50" spans="1:20" x14ac:dyDescent="0.15">
      <c r="A50" s="318"/>
      <c r="B50" s="318"/>
      <c r="D50" s="617"/>
      <c r="E50" s="618"/>
      <c r="F50" s="618"/>
      <c r="G50" s="618"/>
      <c r="H50" s="618"/>
      <c r="I50" s="618"/>
      <c r="J50" s="619"/>
      <c r="L50" s="617"/>
      <c r="M50" s="618"/>
      <c r="N50" s="618"/>
      <c r="O50" s="618"/>
      <c r="P50" s="618"/>
      <c r="Q50" s="618"/>
      <c r="R50" s="619"/>
      <c r="T50" s="346"/>
    </row>
    <row r="51" spans="1:20" x14ac:dyDescent="0.15">
      <c r="A51" s="318"/>
      <c r="B51" s="318"/>
      <c r="D51" s="617"/>
      <c r="E51" s="618"/>
      <c r="F51" s="618"/>
      <c r="G51" s="618"/>
      <c r="H51" s="618"/>
      <c r="I51" s="618"/>
      <c r="J51" s="619"/>
      <c r="L51" s="617"/>
      <c r="M51" s="618"/>
      <c r="N51" s="618"/>
      <c r="O51" s="618"/>
      <c r="P51" s="618"/>
      <c r="Q51" s="618"/>
      <c r="R51" s="619"/>
      <c r="T51" s="346"/>
    </row>
    <row r="52" spans="1:20" x14ac:dyDescent="0.15">
      <c r="A52" s="318"/>
      <c r="B52" s="318"/>
      <c r="D52" s="617"/>
      <c r="E52" s="618"/>
      <c r="F52" s="618"/>
      <c r="G52" s="618"/>
      <c r="H52" s="618"/>
      <c r="I52" s="618"/>
      <c r="J52" s="619"/>
      <c r="L52" s="617"/>
      <c r="M52" s="618"/>
      <c r="N52" s="618"/>
      <c r="O52" s="618"/>
      <c r="P52" s="618"/>
      <c r="Q52" s="618"/>
      <c r="R52" s="619"/>
      <c r="T52" s="346"/>
    </row>
    <row r="53" spans="1:20" x14ac:dyDescent="0.15">
      <c r="A53" s="318"/>
      <c r="B53" s="318"/>
      <c r="D53" s="617"/>
      <c r="E53" s="618"/>
      <c r="F53" s="618"/>
      <c r="G53" s="618"/>
      <c r="H53" s="618"/>
      <c r="I53" s="618"/>
      <c r="J53" s="619"/>
      <c r="L53" s="617"/>
      <c r="M53" s="618"/>
      <c r="N53" s="618"/>
      <c r="O53" s="618"/>
      <c r="P53" s="618"/>
      <c r="Q53" s="618"/>
      <c r="R53" s="619"/>
      <c r="T53" s="346"/>
    </row>
    <row r="54" spans="1:20" x14ac:dyDescent="0.15">
      <c r="A54" s="318"/>
      <c r="B54" s="318"/>
      <c r="D54" s="617"/>
      <c r="E54" s="618"/>
      <c r="F54" s="618"/>
      <c r="G54" s="618"/>
      <c r="H54" s="618"/>
      <c r="I54" s="618"/>
      <c r="J54" s="619"/>
      <c r="L54" s="617"/>
      <c r="M54" s="618"/>
      <c r="N54" s="618"/>
      <c r="O54" s="618"/>
      <c r="P54" s="618"/>
      <c r="Q54" s="618"/>
      <c r="R54" s="619"/>
      <c r="T54" s="346"/>
    </row>
    <row r="55" spans="1:20" x14ac:dyDescent="0.15">
      <c r="A55" s="318"/>
      <c r="B55" s="318"/>
      <c r="D55" s="617"/>
      <c r="E55" s="618"/>
      <c r="F55" s="618"/>
      <c r="G55" s="618"/>
      <c r="H55" s="618"/>
      <c r="I55" s="618"/>
      <c r="J55" s="619"/>
      <c r="L55" s="617"/>
      <c r="M55" s="618"/>
      <c r="N55" s="618"/>
      <c r="O55" s="618"/>
      <c r="P55" s="618"/>
      <c r="Q55" s="618"/>
      <c r="R55" s="619"/>
      <c r="T55" s="346"/>
    </row>
    <row r="56" spans="1:20" x14ac:dyDescent="0.15">
      <c r="A56" s="318"/>
      <c r="B56" s="318"/>
      <c r="C56" s="347"/>
      <c r="D56" s="617"/>
      <c r="E56" s="618"/>
      <c r="F56" s="618"/>
      <c r="G56" s="618"/>
      <c r="H56" s="618"/>
      <c r="I56" s="618"/>
      <c r="J56" s="619"/>
      <c r="K56" s="317"/>
      <c r="L56" s="617"/>
      <c r="M56" s="618"/>
      <c r="N56" s="618"/>
      <c r="O56" s="618"/>
      <c r="P56" s="618"/>
      <c r="Q56" s="618"/>
      <c r="R56" s="619"/>
      <c r="T56" s="346"/>
    </row>
    <row r="57" spans="1:20" x14ac:dyDescent="0.15">
      <c r="A57" s="318"/>
      <c r="B57" s="318"/>
      <c r="C57" s="347"/>
      <c r="D57" s="617"/>
      <c r="E57" s="618"/>
      <c r="F57" s="618"/>
      <c r="G57" s="618"/>
      <c r="H57" s="618"/>
      <c r="I57" s="618"/>
      <c r="J57" s="619"/>
      <c r="K57" s="317"/>
      <c r="L57" s="617"/>
      <c r="M57" s="618"/>
      <c r="N57" s="618"/>
      <c r="O57" s="618"/>
      <c r="P57" s="618"/>
      <c r="Q57" s="618"/>
      <c r="R57" s="619"/>
      <c r="T57" s="346"/>
    </row>
    <row r="58" spans="1:20" x14ac:dyDescent="0.15">
      <c r="A58" s="318"/>
      <c r="B58" s="318"/>
      <c r="C58" s="347"/>
      <c r="D58" s="617"/>
      <c r="E58" s="618"/>
      <c r="F58" s="618"/>
      <c r="G58" s="618"/>
      <c r="H58" s="618"/>
      <c r="I58" s="618"/>
      <c r="J58" s="619"/>
      <c r="K58" s="317"/>
      <c r="L58" s="617"/>
      <c r="M58" s="618"/>
      <c r="N58" s="618"/>
      <c r="O58" s="618"/>
      <c r="P58" s="618"/>
      <c r="Q58" s="618"/>
      <c r="R58" s="619"/>
      <c r="T58" s="346"/>
    </row>
    <row r="59" spans="1:20" x14ac:dyDescent="0.15">
      <c r="A59" s="318"/>
      <c r="B59" s="318"/>
      <c r="C59" s="347"/>
      <c r="D59" s="617"/>
      <c r="E59" s="618"/>
      <c r="F59" s="618"/>
      <c r="G59" s="618"/>
      <c r="H59" s="618"/>
      <c r="I59" s="618"/>
      <c r="J59" s="619"/>
      <c r="K59" s="317"/>
      <c r="L59" s="617"/>
      <c r="M59" s="618"/>
      <c r="N59" s="618"/>
      <c r="O59" s="618"/>
      <c r="P59" s="618"/>
      <c r="Q59" s="618"/>
      <c r="R59" s="619"/>
      <c r="T59" s="346"/>
    </row>
    <row r="60" spans="1:20" x14ac:dyDescent="0.15">
      <c r="A60" s="318"/>
      <c r="B60" s="318"/>
      <c r="C60" s="347"/>
      <c r="D60" s="617"/>
      <c r="E60" s="618"/>
      <c r="F60" s="618"/>
      <c r="G60" s="618"/>
      <c r="H60" s="618"/>
      <c r="I60" s="618"/>
      <c r="J60" s="619"/>
      <c r="K60" s="317"/>
      <c r="L60" s="617"/>
      <c r="M60" s="618"/>
      <c r="N60" s="618"/>
      <c r="O60" s="618"/>
      <c r="P60" s="618"/>
      <c r="Q60" s="618"/>
      <c r="R60" s="619"/>
      <c r="T60" s="346"/>
    </row>
    <row r="61" spans="1:20" x14ac:dyDescent="0.15">
      <c r="A61" s="318"/>
      <c r="B61" s="318"/>
      <c r="C61" s="347"/>
      <c r="D61" s="617"/>
      <c r="E61" s="618"/>
      <c r="F61" s="618"/>
      <c r="G61" s="618"/>
      <c r="H61" s="618"/>
      <c r="I61" s="618"/>
      <c r="J61" s="619"/>
      <c r="K61" s="317"/>
      <c r="L61" s="617"/>
      <c r="M61" s="618"/>
      <c r="N61" s="618"/>
      <c r="O61" s="618"/>
      <c r="P61" s="618"/>
      <c r="Q61" s="618"/>
      <c r="R61" s="619"/>
      <c r="T61" s="346"/>
    </row>
    <row r="62" spans="1:20" x14ac:dyDescent="0.15">
      <c r="A62" s="318"/>
      <c r="B62" s="318"/>
      <c r="C62" s="347"/>
      <c r="D62" s="617"/>
      <c r="E62" s="618"/>
      <c r="F62" s="618"/>
      <c r="G62" s="618"/>
      <c r="H62" s="618"/>
      <c r="I62" s="618"/>
      <c r="J62" s="619"/>
      <c r="K62" s="317"/>
      <c r="L62" s="617"/>
      <c r="M62" s="618"/>
      <c r="N62" s="618"/>
      <c r="O62" s="618"/>
      <c r="P62" s="618"/>
      <c r="Q62" s="618"/>
      <c r="R62" s="619"/>
      <c r="T62" s="346"/>
    </row>
    <row r="63" spans="1:20" x14ac:dyDescent="0.15">
      <c r="A63" s="318"/>
      <c r="B63" s="318"/>
      <c r="C63" s="347"/>
      <c r="D63" s="620"/>
      <c r="E63" s="621"/>
      <c r="F63" s="621"/>
      <c r="G63" s="621"/>
      <c r="H63" s="621"/>
      <c r="I63" s="621"/>
      <c r="J63" s="622"/>
      <c r="K63" s="317"/>
      <c r="L63" s="620"/>
      <c r="M63" s="621"/>
      <c r="N63" s="621"/>
      <c r="O63" s="621"/>
      <c r="P63" s="621"/>
      <c r="Q63" s="621"/>
      <c r="R63" s="622"/>
      <c r="T63" s="346"/>
    </row>
    <row r="64" spans="1:20" x14ac:dyDescent="0.15">
      <c r="A64" s="318"/>
      <c r="B64" s="318"/>
      <c r="C64" s="347"/>
      <c r="D64" s="318"/>
      <c r="E64" s="318"/>
      <c r="F64" s="318"/>
      <c r="G64" s="318"/>
      <c r="H64" s="317"/>
      <c r="I64" s="317"/>
      <c r="J64" s="317"/>
      <c r="K64" s="317"/>
      <c r="L64" s="317"/>
      <c r="M64" s="317"/>
      <c r="N64" s="317"/>
      <c r="O64" s="317"/>
      <c r="P64" s="317"/>
      <c r="Q64" s="317"/>
      <c r="T64" s="346"/>
    </row>
    <row r="65" spans="1:20" x14ac:dyDescent="0.15">
      <c r="A65" s="318"/>
      <c r="B65" s="318"/>
      <c r="C65" s="347"/>
      <c r="D65" s="318"/>
      <c r="E65" s="318"/>
      <c r="F65" s="318"/>
      <c r="G65" s="318"/>
      <c r="H65" s="317"/>
      <c r="I65" s="317"/>
      <c r="J65" s="317"/>
      <c r="K65" s="317"/>
      <c r="L65" s="317"/>
      <c r="M65" s="317"/>
      <c r="N65" s="317"/>
      <c r="O65" s="317"/>
      <c r="P65" s="317"/>
      <c r="Q65" s="317"/>
      <c r="T65" s="346"/>
    </row>
    <row r="66" spans="1:20" x14ac:dyDescent="0.15">
      <c r="A66" s="318"/>
      <c r="B66" s="318"/>
      <c r="C66" s="347"/>
      <c r="D66" s="318"/>
      <c r="E66" s="318"/>
      <c r="F66" s="318"/>
      <c r="G66" s="318"/>
      <c r="H66" s="317"/>
      <c r="I66" s="317"/>
      <c r="J66" s="317"/>
      <c r="K66" s="317"/>
      <c r="L66" s="317"/>
      <c r="M66" s="317"/>
      <c r="N66" s="317"/>
      <c r="O66" s="317"/>
      <c r="P66" s="317"/>
      <c r="Q66" s="317"/>
      <c r="T66" s="346"/>
    </row>
    <row r="67" spans="1:20" x14ac:dyDescent="0.15">
      <c r="A67" s="318"/>
      <c r="B67" s="318"/>
      <c r="T67" s="346"/>
    </row>
    <row r="68" spans="1:20" ht="15" x14ac:dyDescent="0.2">
      <c r="A68" s="318"/>
      <c r="B68" s="318"/>
      <c r="D68" s="348" t="s">
        <v>7</v>
      </c>
      <c r="E68" s="349"/>
      <c r="F68" s="349"/>
      <c r="G68" s="349"/>
      <c r="H68" s="349"/>
      <c r="I68" s="349"/>
      <c r="J68" s="349"/>
      <c r="K68" s="349"/>
      <c r="L68" s="606" t="s">
        <v>8</v>
      </c>
      <c r="M68" s="349"/>
      <c r="N68" s="596" t="str">
        <f>Effektmåling!M190</f>
        <v>Besparelse
[t CO2-ævk]</v>
      </c>
      <c r="P68" s="596" t="str">
        <f>Effektmåling!O190</f>
        <v>Besparelse
[t Fe-ækv]</v>
      </c>
      <c r="R68" s="598" t="str">
        <f>Effektmåling!Q190</f>
        <v>Besparelse
[GJ]</v>
      </c>
      <c r="S68" s="339"/>
      <c r="T68" s="346"/>
    </row>
    <row r="69" spans="1:20" ht="12.75" x14ac:dyDescent="0.15">
      <c r="A69" s="318"/>
      <c r="B69" s="318"/>
      <c r="D69" s="350" t="s">
        <v>9</v>
      </c>
      <c r="E69" s="351"/>
      <c r="F69" s="351"/>
      <c r="G69" s="351"/>
      <c r="H69" s="351"/>
      <c r="I69" s="351"/>
      <c r="J69" s="351"/>
      <c r="K69" s="351"/>
      <c r="L69" s="607"/>
      <c r="M69" s="351"/>
      <c r="N69" s="597"/>
      <c r="P69" s="597"/>
      <c r="R69" s="599"/>
      <c r="S69" s="339"/>
      <c r="T69" s="346"/>
    </row>
    <row r="70" spans="1:20" x14ac:dyDescent="0.15">
      <c r="A70" s="318"/>
      <c r="B70" s="318"/>
      <c r="T70" s="346"/>
    </row>
    <row r="71" spans="1:20" x14ac:dyDescent="0.15">
      <c r="A71" s="318"/>
      <c r="B71" s="318"/>
      <c r="D71" s="352" t="s">
        <v>10</v>
      </c>
      <c r="E71" s="353"/>
      <c r="F71" s="353"/>
      <c r="G71" s="353"/>
      <c r="H71" s="353"/>
      <c r="I71" s="353"/>
      <c r="J71" s="354" t="s">
        <v>11</v>
      </c>
      <c r="K71" s="355"/>
      <c r="L71" s="356">
        <f>Effektmåling!H58</f>
        <v>0</v>
      </c>
      <c r="M71" s="357"/>
      <c r="N71" s="358">
        <f>Effektmåling!M193</f>
        <v>0</v>
      </c>
      <c r="O71" s="359"/>
      <c r="P71" s="358">
        <f>Effektmåling!O193</f>
        <v>0</v>
      </c>
      <c r="Q71" s="359"/>
      <c r="R71" s="359"/>
      <c r="T71" s="346"/>
    </row>
    <row r="72" spans="1:20" x14ac:dyDescent="0.15">
      <c r="A72" s="318"/>
      <c r="B72" s="318"/>
      <c r="D72" s="360"/>
      <c r="J72" s="361"/>
      <c r="K72" s="355"/>
      <c r="L72" s="357"/>
      <c r="M72" s="357"/>
      <c r="N72" s="359"/>
      <c r="O72" s="359"/>
      <c r="P72" s="359"/>
      <c r="Q72" s="359"/>
      <c r="R72" s="359"/>
      <c r="T72" s="346"/>
    </row>
    <row r="73" spans="1:20" x14ac:dyDescent="0.15">
      <c r="A73" s="318"/>
      <c r="B73" s="318"/>
      <c r="D73" s="352" t="s">
        <v>12</v>
      </c>
      <c r="E73" s="353"/>
      <c r="F73" s="353"/>
      <c r="G73" s="353"/>
      <c r="H73" s="353"/>
      <c r="I73" s="353"/>
      <c r="J73" s="354" t="s">
        <v>13</v>
      </c>
      <c r="K73" s="355"/>
      <c r="L73" s="362"/>
      <c r="M73" s="357"/>
      <c r="N73" s="358">
        <f ca="1">Effektmåling!M195</f>
        <v>0</v>
      </c>
      <c r="O73" s="359"/>
      <c r="P73" s="358">
        <f ca="1">Effektmåling!O195</f>
        <v>0</v>
      </c>
      <c r="Q73" s="359"/>
      <c r="R73" s="358">
        <f>Effektmåling!Q195</f>
        <v>0</v>
      </c>
      <c r="S73" s="340"/>
      <c r="T73" s="346"/>
    </row>
    <row r="74" spans="1:20" x14ac:dyDescent="0.15">
      <c r="A74" s="318"/>
      <c r="B74" s="318"/>
      <c r="D74" s="360"/>
      <c r="E74" s="363"/>
      <c r="J74" s="361"/>
      <c r="K74" s="355"/>
      <c r="L74" s="357"/>
      <c r="M74" s="357"/>
      <c r="N74" s="364"/>
      <c r="O74" s="359"/>
      <c r="P74" s="364"/>
      <c r="Q74" s="359"/>
      <c r="R74" s="359"/>
      <c r="T74" s="346"/>
    </row>
    <row r="75" spans="1:20" x14ac:dyDescent="0.15">
      <c r="A75" s="318"/>
      <c r="B75" s="318"/>
      <c r="D75" s="365" t="s">
        <v>14</v>
      </c>
      <c r="E75" s="366"/>
      <c r="F75" s="353"/>
      <c r="G75" s="353"/>
      <c r="H75" s="353"/>
      <c r="I75" s="353"/>
      <c r="J75" s="354" t="s">
        <v>11</v>
      </c>
      <c r="K75" s="355"/>
      <c r="L75" s="356">
        <f>Effektmåling!J111</f>
        <v>0</v>
      </c>
      <c r="M75" s="362"/>
      <c r="N75" s="358">
        <f>Effektmåling!M197</f>
        <v>0</v>
      </c>
      <c r="O75" s="359"/>
      <c r="P75" s="367"/>
      <c r="Q75" s="359"/>
      <c r="R75" s="359"/>
      <c r="T75" s="346"/>
    </row>
    <row r="76" spans="1:20" x14ac:dyDescent="0.15">
      <c r="A76" s="318"/>
      <c r="B76" s="318"/>
      <c r="D76" s="360"/>
      <c r="E76" s="363"/>
      <c r="J76" s="361"/>
      <c r="K76" s="355"/>
      <c r="L76" s="357"/>
      <c r="M76" s="357"/>
      <c r="N76" s="364"/>
      <c r="O76" s="359"/>
      <c r="P76" s="364"/>
      <c r="Q76" s="359"/>
      <c r="R76" s="359"/>
      <c r="S76" s="341"/>
      <c r="T76" s="346"/>
    </row>
    <row r="77" spans="1:20" x14ac:dyDescent="0.15">
      <c r="A77" s="318"/>
      <c r="B77" s="318"/>
      <c r="D77" s="365" t="s">
        <v>15</v>
      </c>
      <c r="E77" s="353"/>
      <c r="F77" s="368"/>
      <c r="G77" s="368"/>
      <c r="H77" s="368"/>
      <c r="I77" s="368"/>
      <c r="J77" s="369" t="s">
        <v>11</v>
      </c>
      <c r="K77" s="370"/>
      <c r="L77" s="356">
        <f>Effektmåling!I133</f>
        <v>0</v>
      </c>
      <c r="M77" s="357"/>
      <c r="N77" s="358">
        <f>Effektmåling!M199</f>
        <v>0</v>
      </c>
      <c r="O77" s="359"/>
      <c r="P77" s="358">
        <f>Effektmåling!O199</f>
        <v>0</v>
      </c>
      <c r="Q77" s="359"/>
      <c r="R77" s="359"/>
      <c r="S77" s="341"/>
      <c r="T77" s="346"/>
    </row>
    <row r="78" spans="1:20" x14ac:dyDescent="0.15">
      <c r="A78" s="318"/>
      <c r="B78" s="318"/>
      <c r="D78" s="360"/>
      <c r="E78" s="363"/>
      <c r="J78" s="361"/>
      <c r="K78" s="355"/>
      <c r="L78" s="357"/>
      <c r="M78" s="357"/>
      <c r="N78" s="364"/>
      <c r="O78" s="359"/>
      <c r="P78" s="364"/>
      <c r="Q78" s="359"/>
      <c r="R78" s="359"/>
      <c r="S78" s="341"/>
      <c r="T78" s="346"/>
    </row>
    <row r="79" spans="1:20" x14ac:dyDescent="0.15">
      <c r="A79" s="318"/>
      <c r="B79" s="318"/>
      <c r="D79" s="365" t="s">
        <v>16</v>
      </c>
      <c r="E79" s="353"/>
      <c r="F79" s="353"/>
      <c r="G79" s="353"/>
      <c r="H79" s="353"/>
      <c r="I79" s="353"/>
      <c r="J79" s="354" t="s">
        <v>11</v>
      </c>
      <c r="K79" s="355"/>
      <c r="L79" s="362"/>
      <c r="M79" s="357"/>
      <c r="N79" s="358">
        <f>Effektmåling!M201</f>
        <v>0</v>
      </c>
      <c r="O79" s="359"/>
      <c r="P79" s="358">
        <f>Effektmåling!O201</f>
        <v>0</v>
      </c>
      <c r="Q79" s="359"/>
      <c r="R79" s="359"/>
      <c r="T79" s="346"/>
    </row>
    <row r="80" spans="1:20" x14ac:dyDescent="0.15">
      <c r="A80" s="318"/>
      <c r="B80" s="318"/>
      <c r="D80" s="360"/>
      <c r="E80" s="363"/>
      <c r="J80" s="361"/>
      <c r="K80" s="355"/>
      <c r="L80" s="357"/>
      <c r="M80" s="357"/>
      <c r="N80" s="364"/>
      <c r="O80" s="359"/>
      <c r="P80" s="364"/>
      <c r="Q80" s="359"/>
      <c r="R80" s="359"/>
      <c r="S80" s="341"/>
      <c r="T80" s="346"/>
    </row>
    <row r="81" spans="1:20" x14ac:dyDescent="0.15">
      <c r="A81" s="318"/>
      <c r="B81" s="318"/>
      <c r="D81" s="365" t="s">
        <v>17</v>
      </c>
      <c r="E81" s="353"/>
      <c r="F81" s="353"/>
      <c r="G81" s="353"/>
      <c r="H81" s="353"/>
      <c r="I81" s="353"/>
      <c r="J81" s="354" t="s">
        <v>13</v>
      </c>
      <c r="K81" s="355"/>
      <c r="L81" s="362"/>
      <c r="M81" s="357"/>
      <c r="N81" s="358">
        <f ca="1">Effektmåling!M203</f>
        <v>0</v>
      </c>
      <c r="O81" s="359"/>
      <c r="P81" s="358">
        <f ca="1">Effektmåling!O203</f>
        <v>0</v>
      </c>
      <c r="Q81" s="359"/>
      <c r="R81" s="359"/>
      <c r="T81" s="346"/>
    </row>
    <row r="82" spans="1:20" x14ac:dyDescent="0.15">
      <c r="A82" s="318"/>
      <c r="B82" s="318"/>
      <c r="D82" s="371"/>
      <c r="J82" s="361"/>
      <c r="K82" s="355"/>
      <c r="L82" s="318"/>
      <c r="M82" s="318"/>
      <c r="N82" s="372"/>
      <c r="P82" s="372"/>
      <c r="Q82" s="341"/>
      <c r="R82" s="341"/>
      <c r="S82" s="341"/>
      <c r="T82" s="346"/>
    </row>
    <row r="83" spans="1:20" x14ac:dyDescent="0.15">
      <c r="A83" s="318"/>
      <c r="B83" s="318"/>
      <c r="D83" s="365" t="s">
        <v>18</v>
      </c>
      <c r="E83" s="353"/>
      <c r="F83" s="353"/>
      <c r="G83" s="353"/>
      <c r="H83" s="353"/>
      <c r="I83" s="353"/>
      <c r="J83" s="354" t="s">
        <v>11</v>
      </c>
      <c r="K83" s="355"/>
      <c r="N83" s="358">
        <f>Effektmåling!M205</f>
        <v>0</v>
      </c>
      <c r="O83" s="359"/>
      <c r="P83" s="358">
        <f>Effektmåling!O205</f>
        <v>0</v>
      </c>
      <c r="T83" s="346"/>
    </row>
    <row r="84" spans="1:20" x14ac:dyDescent="0.15">
      <c r="A84" s="318"/>
      <c r="B84" s="318"/>
      <c r="E84" s="363"/>
      <c r="K84" s="318"/>
      <c r="S84" s="341"/>
      <c r="T84" s="346"/>
    </row>
    <row r="85" spans="1:20" ht="14.25" x14ac:dyDescent="0.15">
      <c r="A85" s="318"/>
      <c r="B85" s="318"/>
      <c r="D85" s="628" t="s">
        <v>19</v>
      </c>
      <c r="E85" s="629"/>
      <c r="F85" s="629"/>
      <c r="G85" s="629"/>
      <c r="H85" s="629"/>
      <c r="I85" s="629"/>
      <c r="J85" s="630"/>
      <c r="K85" s="373"/>
      <c r="L85" s="637">
        <f ca="1">Effektmåling!M207</f>
        <v>0</v>
      </c>
      <c r="M85" s="343"/>
      <c r="N85" s="600">
        <f ca="1">Effektmåling!M207</f>
        <v>0</v>
      </c>
      <c r="O85" s="312"/>
      <c r="P85" s="600">
        <f ca="1">Effektmåling!O207</f>
        <v>0</v>
      </c>
      <c r="Q85" s="312"/>
      <c r="R85" s="600">
        <f>Effektmåling!Q207</f>
        <v>0</v>
      </c>
      <c r="S85" s="342"/>
      <c r="T85" s="346"/>
    </row>
    <row r="86" spans="1:20" ht="14.25" x14ac:dyDescent="0.15">
      <c r="A86" s="318"/>
      <c r="B86" s="318"/>
      <c r="D86" s="631"/>
      <c r="E86" s="632"/>
      <c r="F86" s="632"/>
      <c r="G86" s="632"/>
      <c r="H86" s="632"/>
      <c r="I86" s="632"/>
      <c r="J86" s="633"/>
      <c r="K86" s="373"/>
      <c r="L86" s="638"/>
      <c r="M86" s="343"/>
      <c r="N86" s="601"/>
      <c r="O86" s="312"/>
      <c r="P86" s="601"/>
      <c r="Q86" s="312"/>
      <c r="R86" s="601"/>
      <c r="S86" s="343"/>
      <c r="T86" s="346"/>
    </row>
    <row r="87" spans="1:20" ht="14.25" x14ac:dyDescent="0.15">
      <c r="A87" s="318"/>
      <c r="B87" s="318"/>
      <c r="D87" s="634"/>
      <c r="E87" s="635"/>
      <c r="F87" s="635"/>
      <c r="G87" s="635"/>
      <c r="H87" s="635"/>
      <c r="I87" s="635"/>
      <c r="J87" s="636"/>
      <c r="K87" s="373"/>
      <c r="L87" s="374" t="str">
        <f>Effektmåling!M209</f>
        <v>[ton CO2-ækv]</v>
      </c>
      <c r="M87" s="343"/>
      <c r="N87" s="375" t="str">
        <f>Effektmåling!M209</f>
        <v>[ton CO2-ækv]</v>
      </c>
      <c r="O87" s="312"/>
      <c r="P87" s="376" t="s">
        <v>20</v>
      </c>
      <c r="Q87" s="377"/>
      <c r="R87" s="374" t="s">
        <v>21</v>
      </c>
      <c r="S87" s="344"/>
      <c r="T87" s="346"/>
    </row>
    <row r="88" spans="1:20" x14ac:dyDescent="0.15">
      <c r="A88" s="318"/>
      <c r="B88" s="318"/>
      <c r="T88" s="346"/>
    </row>
    <row r="89" spans="1:20" x14ac:dyDescent="0.15">
      <c r="A89" s="318"/>
      <c r="B89" s="318"/>
      <c r="T89" s="346"/>
    </row>
    <row r="90" spans="1:20" x14ac:dyDescent="0.15">
      <c r="A90" s="318"/>
      <c r="B90" s="318"/>
      <c r="C90" s="378"/>
      <c r="D90" s="378"/>
      <c r="E90" s="378"/>
      <c r="F90" s="378"/>
      <c r="G90" s="378"/>
      <c r="H90" s="378"/>
      <c r="I90" s="378"/>
      <c r="J90" s="378"/>
      <c r="K90" s="378"/>
      <c r="L90" s="378"/>
      <c r="M90" s="378"/>
      <c r="N90" s="378"/>
      <c r="O90" s="378"/>
      <c r="P90" s="378"/>
      <c r="Q90" s="378"/>
      <c r="R90" s="378"/>
      <c r="S90" s="378"/>
      <c r="T90" s="346"/>
    </row>
    <row r="91" spans="1:20" x14ac:dyDescent="0.15">
      <c r="A91" s="318"/>
      <c r="B91" s="318"/>
      <c r="C91" s="318"/>
      <c r="D91" s="318"/>
      <c r="E91" s="318"/>
      <c r="F91" s="318"/>
      <c r="G91" s="318"/>
      <c r="H91" s="318"/>
      <c r="I91" s="318"/>
      <c r="J91" s="318"/>
      <c r="K91" s="318"/>
      <c r="L91" s="318"/>
      <c r="M91" s="318"/>
      <c r="N91" s="318"/>
      <c r="O91" s="318"/>
      <c r="P91" s="318"/>
      <c r="Q91" s="318"/>
      <c r="R91" s="318"/>
      <c r="S91" s="318"/>
      <c r="T91" s="346"/>
    </row>
    <row r="92" spans="1:20" x14ac:dyDescent="0.15">
      <c r="A92" s="318"/>
      <c r="B92" s="318"/>
      <c r="C92" s="337" t="s">
        <v>22</v>
      </c>
      <c r="D92" s="318"/>
      <c r="E92" s="318"/>
      <c r="F92" s="318"/>
      <c r="G92" s="318"/>
      <c r="H92" s="318"/>
      <c r="I92" s="318"/>
      <c r="J92" s="318"/>
      <c r="K92" s="318"/>
      <c r="L92" s="318"/>
      <c r="M92" s="318"/>
      <c r="N92" s="318"/>
      <c r="O92" s="318"/>
      <c r="P92" s="318"/>
      <c r="Q92" s="318"/>
      <c r="R92" s="318"/>
      <c r="S92" s="318"/>
      <c r="T92" s="346"/>
    </row>
    <row r="93" spans="1:20" x14ac:dyDescent="0.15">
      <c r="A93" s="318"/>
      <c r="B93" s="318"/>
      <c r="C93" s="623" t="s">
        <v>23</v>
      </c>
      <c r="D93" s="623"/>
      <c r="E93" s="623"/>
      <c r="F93" s="623"/>
      <c r="G93" s="623"/>
      <c r="H93" s="623"/>
      <c r="I93" s="623"/>
      <c r="J93" s="623"/>
      <c r="K93" s="623"/>
      <c r="L93" s="623"/>
      <c r="M93" s="623"/>
      <c r="N93" s="623"/>
      <c r="O93" s="623"/>
      <c r="P93" s="623"/>
      <c r="Q93" s="623"/>
      <c r="R93" s="623"/>
      <c r="S93" s="623"/>
      <c r="T93" s="346"/>
    </row>
    <row r="94" spans="1:20" x14ac:dyDescent="0.15">
      <c r="A94" s="318"/>
      <c r="B94" s="318"/>
      <c r="C94" s="623"/>
      <c r="D94" s="623"/>
      <c r="E94" s="623"/>
      <c r="F94" s="623"/>
      <c r="G94" s="623"/>
      <c r="H94" s="623"/>
      <c r="I94" s="623"/>
      <c r="J94" s="623"/>
      <c r="K94" s="623"/>
      <c r="L94" s="623"/>
      <c r="M94" s="623"/>
      <c r="N94" s="623"/>
      <c r="O94" s="623"/>
      <c r="P94" s="623"/>
      <c r="Q94" s="623"/>
      <c r="R94" s="623"/>
      <c r="S94" s="623"/>
      <c r="T94" s="346"/>
    </row>
    <row r="95" spans="1:20" x14ac:dyDescent="0.15">
      <c r="A95" s="318"/>
      <c r="B95" s="318"/>
      <c r="C95" s="379"/>
      <c r="D95" s="380"/>
      <c r="E95" s="380"/>
      <c r="F95" s="381"/>
      <c r="G95" s="319"/>
      <c r="H95" s="320"/>
      <c r="I95" s="380"/>
      <c r="J95" s="380"/>
      <c r="K95" s="380"/>
      <c r="L95" s="380"/>
      <c r="M95" s="380"/>
      <c r="N95" s="380"/>
      <c r="O95" s="380"/>
      <c r="P95" s="380"/>
      <c r="Q95" s="381"/>
      <c r="T95" s="346"/>
    </row>
    <row r="96" spans="1:20" x14ac:dyDescent="0.15">
      <c r="A96" s="318"/>
      <c r="B96" s="318"/>
      <c r="C96" s="382"/>
      <c r="D96" s="383" t="s">
        <v>24</v>
      </c>
      <c r="E96" s="384" t="s">
        <v>25</v>
      </c>
      <c r="F96" s="385"/>
      <c r="G96" s="319"/>
      <c r="H96" s="386"/>
      <c r="I96" s="387"/>
      <c r="J96" s="624" t="s">
        <v>26</v>
      </c>
      <c r="K96" s="624"/>
      <c r="L96" s="624"/>
      <c r="M96" s="388"/>
      <c r="N96" s="625" t="s">
        <v>27</v>
      </c>
      <c r="O96" s="626"/>
      <c r="P96" s="627"/>
      <c r="Q96" s="386"/>
      <c r="T96" s="346"/>
    </row>
    <row r="97" spans="1:20" x14ac:dyDescent="0.15">
      <c r="A97" s="318"/>
      <c r="B97" s="318"/>
      <c r="C97" s="389"/>
      <c r="D97" s="456">
        <f ca="1">'DB materialer'!BV7</f>
        <v>0</v>
      </c>
      <c r="E97" s="390">
        <f ca="1">'DB materialer'!BW7</f>
        <v>0</v>
      </c>
      <c r="F97" s="320"/>
      <c r="G97" s="319"/>
      <c r="H97" s="391"/>
      <c r="I97" s="392"/>
      <c r="J97" s="602">
        <f ca="1">'DB energi'!AA6</f>
        <v>0</v>
      </c>
      <c r="K97" s="602"/>
      <c r="L97" s="602"/>
      <c r="M97" s="393"/>
      <c r="N97" s="603">
        <f ca="1">'DB energi'!AB6</f>
        <v>0</v>
      </c>
      <c r="O97" s="604"/>
      <c r="P97" s="605"/>
      <c r="Q97" s="394"/>
      <c r="T97" s="346"/>
    </row>
    <row r="98" spans="1:20" x14ac:dyDescent="0.15">
      <c r="A98" s="318"/>
      <c r="B98" s="318"/>
      <c r="C98" s="389"/>
      <c r="D98" s="456">
        <f ca="1">'DB materialer'!BV8</f>
        <v>0</v>
      </c>
      <c r="E98" s="390">
        <f ca="1">'DB materialer'!BW8</f>
        <v>0</v>
      </c>
      <c r="F98" s="320"/>
      <c r="G98" s="319"/>
      <c r="H98" s="391"/>
      <c r="I98" s="392"/>
      <c r="J98" s="602">
        <f ca="1">'DB energi'!AA7</f>
        <v>0</v>
      </c>
      <c r="K98" s="602"/>
      <c r="L98" s="602"/>
      <c r="M98" s="393"/>
      <c r="N98" s="603">
        <f ca="1">'DB energi'!AB7</f>
        <v>0</v>
      </c>
      <c r="O98" s="604"/>
      <c r="P98" s="605"/>
      <c r="Q98" s="394"/>
      <c r="T98" s="346"/>
    </row>
    <row r="99" spans="1:20" x14ac:dyDescent="0.15">
      <c r="A99" s="318"/>
      <c r="B99" s="318"/>
      <c r="C99" s="389"/>
      <c r="D99" s="456">
        <f ca="1">'DB materialer'!BV9</f>
        <v>0</v>
      </c>
      <c r="E99" s="390">
        <f ca="1">'DB materialer'!BW9</f>
        <v>0</v>
      </c>
      <c r="F99" s="320"/>
      <c r="G99" s="319"/>
      <c r="H99" s="391"/>
      <c r="I99" s="392"/>
      <c r="J99" s="602">
        <f ca="1">'DB energi'!AA8</f>
        <v>0</v>
      </c>
      <c r="K99" s="602"/>
      <c r="L99" s="602"/>
      <c r="M99" s="393"/>
      <c r="N99" s="603">
        <f ca="1">'DB energi'!AB8</f>
        <v>0</v>
      </c>
      <c r="O99" s="604"/>
      <c r="P99" s="605"/>
      <c r="Q99" s="394"/>
      <c r="T99" s="346"/>
    </row>
    <row r="100" spans="1:20" x14ac:dyDescent="0.15">
      <c r="A100" s="318"/>
      <c r="B100" s="318"/>
      <c r="C100" s="389"/>
      <c r="D100" s="456">
        <f ca="1">'DB materialer'!BV10</f>
        <v>0</v>
      </c>
      <c r="E100" s="390">
        <f ca="1">'DB materialer'!BW10</f>
        <v>0</v>
      </c>
      <c r="F100" s="320"/>
      <c r="G100" s="319"/>
      <c r="H100" s="391"/>
      <c r="I100" s="392"/>
      <c r="J100" s="602">
        <f ca="1">'DB energi'!AA9</f>
        <v>0</v>
      </c>
      <c r="K100" s="602"/>
      <c r="L100" s="602"/>
      <c r="M100" s="393"/>
      <c r="N100" s="603">
        <f ca="1">'DB energi'!AB9</f>
        <v>0</v>
      </c>
      <c r="O100" s="604"/>
      <c r="P100" s="605"/>
      <c r="Q100" s="394"/>
      <c r="T100" s="346"/>
    </row>
    <row r="101" spans="1:20" x14ac:dyDescent="0.15">
      <c r="A101" s="318"/>
      <c r="B101" s="318"/>
      <c r="C101" s="389"/>
      <c r="D101" s="456">
        <f ca="1">'DB materialer'!BV11</f>
        <v>0</v>
      </c>
      <c r="E101" s="390">
        <f ca="1">'DB materialer'!BW11</f>
        <v>0</v>
      </c>
      <c r="F101" s="320"/>
      <c r="G101" s="319"/>
      <c r="H101" s="391"/>
      <c r="I101" s="392"/>
      <c r="J101" s="602">
        <f ca="1">'DB energi'!AA10</f>
        <v>0</v>
      </c>
      <c r="K101" s="602"/>
      <c r="L101" s="602"/>
      <c r="M101" s="393"/>
      <c r="N101" s="603">
        <f ca="1">'DB energi'!AB10</f>
        <v>0</v>
      </c>
      <c r="O101" s="604"/>
      <c r="P101" s="605"/>
      <c r="Q101" s="394"/>
      <c r="T101" s="346"/>
    </row>
    <row r="102" spans="1:20" x14ac:dyDescent="0.15">
      <c r="A102" s="318"/>
      <c r="B102" s="318"/>
      <c r="C102" s="389"/>
      <c r="D102" s="456">
        <f ca="1">'DB materialer'!BV12</f>
        <v>0</v>
      </c>
      <c r="E102" s="390">
        <f ca="1">'DB materialer'!BW12</f>
        <v>0</v>
      </c>
      <c r="F102" s="320"/>
      <c r="G102" s="319"/>
      <c r="H102" s="391"/>
      <c r="I102" s="392"/>
      <c r="J102" s="602">
        <f ca="1">'DB energi'!AA11</f>
        <v>0</v>
      </c>
      <c r="K102" s="602"/>
      <c r="L102" s="602"/>
      <c r="M102" s="393"/>
      <c r="N102" s="603">
        <f ca="1">'DB energi'!AB11</f>
        <v>0</v>
      </c>
      <c r="O102" s="604"/>
      <c r="P102" s="605"/>
      <c r="Q102" s="394"/>
      <c r="T102" s="346"/>
    </row>
    <row r="103" spans="1:20" x14ac:dyDescent="0.15">
      <c r="A103" s="318"/>
      <c r="B103" s="318"/>
      <c r="C103" s="389"/>
      <c r="D103" s="456">
        <f ca="1">'DB materialer'!BV13</f>
        <v>0</v>
      </c>
      <c r="E103" s="390">
        <f ca="1">'DB materialer'!BW13</f>
        <v>0</v>
      </c>
      <c r="F103" s="320"/>
      <c r="G103" s="319"/>
      <c r="H103" s="391">
        <f ca="1">'DB energi'!AA12</f>
        <v>0</v>
      </c>
      <c r="I103" s="392"/>
      <c r="J103" s="602">
        <f ca="1">'DB energi'!AA12</f>
        <v>0</v>
      </c>
      <c r="K103" s="602"/>
      <c r="L103" s="602"/>
      <c r="M103" s="393"/>
      <c r="N103" s="603">
        <f ca="1">'DB energi'!AB12</f>
        <v>0</v>
      </c>
      <c r="O103" s="604"/>
      <c r="P103" s="605"/>
      <c r="Q103" s="394"/>
      <c r="T103" s="346"/>
    </row>
    <row r="104" spans="1:20" x14ac:dyDescent="0.15">
      <c r="A104" s="318"/>
      <c r="B104" s="318"/>
      <c r="C104" s="389"/>
      <c r="D104" s="456">
        <f ca="1">'DB materialer'!BV14</f>
        <v>0</v>
      </c>
      <c r="E104" s="390">
        <f ca="1">'DB materialer'!BW14</f>
        <v>0</v>
      </c>
      <c r="F104" s="320"/>
      <c r="G104" s="319"/>
      <c r="H104" s="391">
        <f ca="1">'DB energi'!AA13</f>
        <v>0</v>
      </c>
      <c r="I104" s="392"/>
      <c r="J104" s="602">
        <f ca="1">'DB energi'!AA13</f>
        <v>0</v>
      </c>
      <c r="K104" s="602"/>
      <c r="L104" s="602"/>
      <c r="M104" s="393"/>
      <c r="N104" s="603">
        <f ca="1">'DB energi'!AB13</f>
        <v>0</v>
      </c>
      <c r="O104" s="604"/>
      <c r="P104" s="605"/>
      <c r="Q104" s="394"/>
      <c r="T104" s="346"/>
    </row>
    <row r="105" spans="1:20" x14ac:dyDescent="0.15">
      <c r="A105" s="318"/>
      <c r="B105" s="318"/>
      <c r="C105" s="389"/>
      <c r="D105" s="456">
        <f ca="1">'DB materialer'!BV15</f>
        <v>0</v>
      </c>
      <c r="E105" s="390">
        <f ca="1">'DB materialer'!BW15</f>
        <v>0</v>
      </c>
      <c r="F105" s="320"/>
      <c r="G105" s="319"/>
      <c r="H105" s="391">
        <f ca="1">'DB energi'!AA14</f>
        <v>0</v>
      </c>
      <c r="I105" s="392"/>
      <c r="J105" s="602">
        <f ca="1">'DB energi'!AA14</f>
        <v>0</v>
      </c>
      <c r="K105" s="602"/>
      <c r="L105" s="602"/>
      <c r="M105" s="393"/>
      <c r="N105" s="603">
        <f ca="1">'DB energi'!AB14</f>
        <v>0</v>
      </c>
      <c r="O105" s="604"/>
      <c r="P105" s="605"/>
      <c r="Q105" s="394"/>
      <c r="T105" s="346"/>
    </row>
    <row r="106" spans="1:20" x14ac:dyDescent="0.15">
      <c r="A106" s="318"/>
      <c r="B106" s="318"/>
      <c r="C106" s="389"/>
      <c r="D106" s="456">
        <f ca="1">'DB materialer'!BV16</f>
        <v>0</v>
      </c>
      <c r="E106" s="390">
        <f ca="1">'DB materialer'!BW16</f>
        <v>0</v>
      </c>
      <c r="F106" s="320"/>
      <c r="G106" s="319"/>
      <c r="H106" s="391">
        <f ca="1">'DB energi'!AA15</f>
        <v>0</v>
      </c>
      <c r="I106" s="392"/>
      <c r="J106" s="602">
        <f ca="1">'DB energi'!AA15</f>
        <v>0</v>
      </c>
      <c r="K106" s="602"/>
      <c r="L106" s="602"/>
      <c r="M106" s="393"/>
      <c r="N106" s="603">
        <f ca="1">'DB energi'!AB15</f>
        <v>0</v>
      </c>
      <c r="O106" s="604"/>
      <c r="P106" s="605"/>
      <c r="Q106" s="394"/>
      <c r="T106" s="346"/>
    </row>
    <row r="107" spans="1:20" x14ac:dyDescent="0.15">
      <c r="A107" s="318"/>
      <c r="B107" s="318"/>
      <c r="C107" s="395"/>
      <c r="D107" s="396"/>
      <c r="E107" s="396"/>
      <c r="F107" s="397"/>
      <c r="G107" s="318"/>
      <c r="H107" s="314"/>
      <c r="I107" s="315"/>
      <c r="J107" s="315"/>
      <c r="K107" s="315"/>
      <c r="L107" s="315"/>
      <c r="M107" s="315"/>
      <c r="N107" s="315"/>
      <c r="O107" s="315"/>
      <c r="P107" s="315"/>
      <c r="Q107" s="316"/>
      <c r="T107" s="318"/>
    </row>
    <row r="108" spans="1:20" ht="11.25" customHeight="1" x14ac:dyDescent="0.15">
      <c r="A108" s="318"/>
      <c r="B108" s="318"/>
      <c r="C108" s="318"/>
      <c r="D108" s="318"/>
      <c r="E108" s="318"/>
      <c r="F108" s="318"/>
      <c r="G108" s="318"/>
      <c r="H108" s="318"/>
      <c r="I108" s="318"/>
      <c r="J108" s="318"/>
      <c r="K108" s="318"/>
      <c r="L108" s="318"/>
      <c r="M108" s="318"/>
      <c r="N108" s="318"/>
      <c r="O108" s="318"/>
      <c r="P108" s="318"/>
      <c r="Q108" s="318"/>
      <c r="R108" s="318"/>
      <c r="S108" s="318"/>
      <c r="T108" s="318"/>
    </row>
    <row r="109" spans="1:20" ht="11.25" customHeight="1" x14ac:dyDescent="0.15"/>
    <row r="110" spans="1:20" ht="11.25" customHeight="1" x14ac:dyDescent="0.15"/>
    <row r="111" spans="1:20" ht="11.25" customHeight="1" x14ac:dyDescent="0.15"/>
    <row r="112" spans="1:20" ht="11.25" customHeight="1" x14ac:dyDescent="0.15"/>
    <row r="113" spans="22:34" ht="11.25" customHeight="1" x14ac:dyDescent="0.15"/>
    <row r="114" spans="22:34" ht="3.75" customHeight="1" x14ac:dyDescent="0.15"/>
    <row r="117" spans="22:34" ht="11.25" customHeight="1" x14ac:dyDescent="0.15"/>
    <row r="118" spans="22:34" ht="11.25" customHeight="1" x14ac:dyDescent="0.15"/>
    <row r="119" spans="22:34" ht="11.25" customHeight="1" x14ac:dyDescent="0.15">
      <c r="V119" s="318"/>
      <c r="W119" s="318"/>
    </row>
    <row r="120" spans="22:34" x14ac:dyDescent="0.15">
      <c r="V120" s="318"/>
      <c r="W120" s="318"/>
      <c r="X120" s="318"/>
      <c r="Y120" s="318"/>
      <c r="Z120" s="318"/>
      <c r="AA120" s="318"/>
      <c r="AB120" s="318"/>
      <c r="AC120" s="318"/>
      <c r="AD120" s="318"/>
      <c r="AE120" s="318"/>
      <c r="AF120" s="318"/>
      <c r="AG120" s="318"/>
      <c r="AH120" s="318"/>
    </row>
    <row r="121" spans="22:34" ht="11.25" customHeight="1" x14ac:dyDescent="0.15">
      <c r="V121" s="318"/>
      <c r="W121" s="318"/>
      <c r="X121" s="318"/>
      <c r="Y121" s="318"/>
      <c r="Z121" s="318"/>
      <c r="AA121" s="318"/>
      <c r="AB121" s="318"/>
      <c r="AC121" s="318"/>
      <c r="AD121" s="318"/>
      <c r="AE121" s="318"/>
      <c r="AF121" s="318"/>
      <c r="AG121" s="398"/>
      <c r="AH121" s="318"/>
    </row>
    <row r="122" spans="22:34" ht="11.25" customHeight="1" x14ac:dyDescent="0.15">
      <c r="V122" s="318"/>
      <c r="AD122" s="318"/>
      <c r="AE122" s="399"/>
      <c r="AF122" s="399"/>
      <c r="AG122" s="399"/>
      <c r="AH122" s="318"/>
    </row>
    <row r="123" spans="22:34" ht="11.25" customHeight="1" x14ac:dyDescent="0.15">
      <c r="V123" s="318"/>
      <c r="AD123" s="318"/>
      <c r="AE123" s="318"/>
      <c r="AF123" s="318"/>
      <c r="AG123" s="400"/>
      <c r="AH123" s="318"/>
    </row>
    <row r="124" spans="22:34" ht="11.25" customHeight="1" x14ac:dyDescent="0.15">
      <c r="V124" s="318"/>
      <c r="AD124" s="318"/>
      <c r="AE124" s="318"/>
      <c r="AF124" s="318"/>
      <c r="AG124" s="318"/>
      <c r="AH124" s="318"/>
    </row>
    <row r="125" spans="22:34" ht="11.25" customHeight="1" x14ac:dyDescent="0.15">
      <c r="AD125" s="318"/>
      <c r="AE125" s="318"/>
      <c r="AF125" s="318"/>
      <c r="AG125" s="318"/>
      <c r="AH125" s="318"/>
    </row>
    <row r="126" spans="22:34" ht="11.25" customHeight="1" x14ac:dyDescent="0.15"/>
  </sheetData>
  <mergeCells count="37">
    <mergeCell ref="J98:L98"/>
    <mergeCell ref="N98:P98"/>
    <mergeCell ref="L68:L69"/>
    <mergeCell ref="C8:S9"/>
    <mergeCell ref="D15:J38"/>
    <mergeCell ref="L15:R38"/>
    <mergeCell ref="D40:J63"/>
    <mergeCell ref="L40:R63"/>
    <mergeCell ref="C93:S94"/>
    <mergeCell ref="J96:L96"/>
    <mergeCell ref="N96:P96"/>
    <mergeCell ref="J97:L97"/>
    <mergeCell ref="N97:P97"/>
    <mergeCell ref="D85:J87"/>
    <mergeCell ref="L85:L86"/>
    <mergeCell ref="N68:N69"/>
    <mergeCell ref="J99:L99"/>
    <mergeCell ref="N99:P99"/>
    <mergeCell ref="J100:L100"/>
    <mergeCell ref="N100:P100"/>
    <mergeCell ref="J101:L101"/>
    <mergeCell ref="N101:P101"/>
    <mergeCell ref="J105:L105"/>
    <mergeCell ref="N105:P105"/>
    <mergeCell ref="J106:L106"/>
    <mergeCell ref="N106:P106"/>
    <mergeCell ref="J102:L102"/>
    <mergeCell ref="N102:P102"/>
    <mergeCell ref="J103:L103"/>
    <mergeCell ref="N103:P103"/>
    <mergeCell ref="J104:L104"/>
    <mergeCell ref="N104:P104"/>
    <mergeCell ref="P68:P69"/>
    <mergeCell ref="R68:R69"/>
    <mergeCell ref="N85:N86"/>
    <mergeCell ref="P85:P86"/>
    <mergeCell ref="R85:R86"/>
  </mergeCells>
  <conditionalFormatting sqref="E97:E106">
    <cfRule type="cellIs" dxfId="55" priority="39" operator="lessThan">
      <formula>0</formula>
    </cfRule>
    <cfRule type="cellIs" dxfId="54" priority="40" operator="greaterThan">
      <formula>0</formula>
    </cfRule>
  </conditionalFormatting>
  <conditionalFormatting sqref="N97:N106">
    <cfRule type="cellIs" dxfId="53" priority="36" operator="lessThan">
      <formula>0</formula>
    </cfRule>
    <cfRule type="cellIs" dxfId="52" priority="37" operator="greaterThan">
      <formula>0</formula>
    </cfRule>
  </conditionalFormatting>
  <conditionalFormatting sqref="P87 N87 N85 N71:N83 P85 P71:P83">
    <cfRule type="cellIs" dxfId="51" priority="1" operator="lessThan">
      <formula>0</formula>
    </cfRule>
  </conditionalFormatting>
  <pageMargins left="0.7" right="0.7" top="0.75" bottom="0.75" header="0.3" footer="0.3"/>
  <pageSetup paperSize="9" scale="57" fitToHeight="0" orientation="portrait" r:id="rId1"/>
  <rowBreaks count="1" manualBreakCount="1">
    <brk id="108" max="20" man="1"/>
  </rowBreaks>
  <colBreaks count="1" manualBreakCount="1">
    <brk id="21" max="1048575" man="1"/>
  </col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Z1000"/>
  <sheetViews>
    <sheetView workbookViewId="0">
      <selection activeCell="C19" sqref="C19:C21"/>
    </sheetView>
  </sheetViews>
  <sheetFormatPr defaultColWidth="8.75" defaultRowHeight="11.25" x14ac:dyDescent="0.15"/>
  <cols>
    <col min="1" max="1" width="1.75" customWidth="1"/>
    <col min="2" max="2" width="3.125" customWidth="1"/>
    <col min="6" max="6" width="3.125" customWidth="1"/>
    <col min="7" max="7" width="1.75" customWidth="1"/>
  </cols>
  <sheetData>
    <row r="1" spans="1:26" x14ac:dyDescent="0.15">
      <c r="A1" s="3"/>
      <c r="B1" s="3"/>
      <c r="C1" s="3"/>
      <c r="D1" s="3"/>
      <c r="E1" s="3"/>
      <c r="F1" s="3"/>
      <c r="G1" s="3"/>
      <c r="H1" s="92"/>
      <c r="I1" s="92"/>
      <c r="J1" s="92"/>
      <c r="K1" s="92"/>
      <c r="L1" s="92"/>
      <c r="M1" s="92"/>
      <c r="N1" s="92"/>
      <c r="O1" s="92"/>
      <c r="P1" s="92"/>
      <c r="Q1" s="92"/>
      <c r="R1" s="92"/>
      <c r="S1" s="92"/>
      <c r="T1" s="92"/>
      <c r="U1" s="92"/>
      <c r="V1" s="92"/>
      <c r="W1" s="92"/>
      <c r="X1" s="92"/>
      <c r="Y1" s="92"/>
      <c r="Z1" s="92"/>
    </row>
    <row r="2" spans="1:26" x14ac:dyDescent="0.15">
      <c r="A2" s="3"/>
      <c r="B2" s="1"/>
      <c r="C2" s="1"/>
      <c r="D2" s="1"/>
      <c r="E2" s="1"/>
      <c r="F2" s="1"/>
      <c r="G2" s="3"/>
      <c r="H2" s="92"/>
      <c r="I2" s="92"/>
      <c r="J2" s="92"/>
      <c r="K2" s="92"/>
      <c r="L2" s="92"/>
      <c r="M2" s="92"/>
      <c r="N2" s="92"/>
      <c r="O2" s="92"/>
      <c r="P2" s="92"/>
      <c r="Q2" s="92"/>
      <c r="R2" s="92"/>
      <c r="S2" s="92"/>
      <c r="T2" s="92"/>
      <c r="U2" s="92"/>
      <c r="V2" s="92"/>
      <c r="W2" s="92"/>
      <c r="X2" s="92"/>
      <c r="Y2" s="92"/>
      <c r="Z2" s="92"/>
    </row>
    <row r="3" spans="1:26" ht="14.25" x14ac:dyDescent="0.2">
      <c r="A3" s="3"/>
      <c r="B3" s="1"/>
      <c r="C3" s="924" t="s">
        <v>584</v>
      </c>
      <c r="D3" s="924"/>
      <c r="E3" s="924"/>
      <c r="F3" s="1"/>
      <c r="G3" s="3"/>
      <c r="H3" s="92"/>
      <c r="I3" s="92"/>
      <c r="J3" s="92"/>
      <c r="K3" s="92"/>
      <c r="L3" s="92"/>
      <c r="M3" s="92"/>
      <c r="N3" s="92"/>
      <c r="O3" s="92"/>
      <c r="P3" s="92"/>
      <c r="Q3" s="92"/>
      <c r="R3" s="92"/>
      <c r="S3" s="92"/>
      <c r="T3" s="92"/>
      <c r="U3" s="92"/>
      <c r="V3" s="92"/>
      <c r="W3" s="92"/>
      <c r="X3" s="92"/>
      <c r="Y3" s="92"/>
      <c r="Z3" s="92"/>
    </row>
    <row r="4" spans="1:26" x14ac:dyDescent="0.15">
      <c r="A4" s="3"/>
      <c r="B4" s="1"/>
      <c r="C4" s="7"/>
      <c r="D4" s="1"/>
      <c r="E4" s="1"/>
      <c r="F4" s="1"/>
      <c r="G4" s="3"/>
      <c r="H4" s="92"/>
      <c r="I4" s="92"/>
      <c r="J4" s="92"/>
      <c r="K4" s="92"/>
      <c r="L4" s="92"/>
      <c r="M4" s="92"/>
      <c r="N4" s="92"/>
      <c r="O4" s="92"/>
      <c r="P4" s="92"/>
      <c r="Q4" s="92"/>
      <c r="R4" s="92"/>
      <c r="S4" s="92"/>
      <c r="T4" s="92"/>
      <c r="U4" s="92"/>
      <c r="V4" s="92"/>
      <c r="W4" s="92"/>
      <c r="X4" s="92"/>
      <c r="Y4" s="92"/>
      <c r="Z4" s="92"/>
    </row>
    <row r="5" spans="1:26" x14ac:dyDescent="0.15">
      <c r="A5" s="3"/>
      <c r="B5" s="1"/>
      <c r="C5" s="96" t="s">
        <v>585</v>
      </c>
      <c r="D5" s="68"/>
      <c r="E5" s="96" t="s">
        <v>586</v>
      </c>
      <c r="F5" s="1"/>
      <c r="G5" s="3"/>
      <c r="H5" s="92"/>
      <c r="I5" s="92"/>
      <c r="J5" s="92"/>
      <c r="K5" s="92"/>
      <c r="L5" s="92"/>
      <c r="M5" s="92"/>
      <c r="N5" s="92"/>
      <c r="O5" s="92"/>
      <c r="P5" s="92"/>
      <c r="Q5" s="92"/>
      <c r="R5" s="92"/>
      <c r="S5" s="92"/>
      <c r="T5" s="92"/>
      <c r="U5" s="92"/>
      <c r="V5" s="92"/>
      <c r="W5" s="92"/>
      <c r="X5" s="92"/>
      <c r="Y5" s="92"/>
      <c r="Z5" s="92"/>
    </row>
    <row r="6" spans="1:26" x14ac:dyDescent="0.15">
      <c r="A6" s="3"/>
      <c r="B6" s="1"/>
      <c r="C6" s="1"/>
      <c r="D6" s="1"/>
      <c r="E6" s="1"/>
      <c r="F6" s="1"/>
      <c r="G6" s="3"/>
      <c r="H6" s="92"/>
      <c r="I6" s="92"/>
      <c r="J6" s="92"/>
      <c r="K6" s="92"/>
      <c r="L6" s="92"/>
      <c r="M6" s="92"/>
      <c r="N6" s="92"/>
      <c r="O6" s="92"/>
      <c r="P6" s="92"/>
      <c r="Q6" s="92"/>
      <c r="R6" s="92"/>
      <c r="S6" s="92"/>
      <c r="T6" s="92"/>
      <c r="U6" s="92"/>
      <c r="V6" s="92"/>
      <c r="W6" s="92"/>
      <c r="X6" s="92"/>
      <c r="Y6" s="92"/>
      <c r="Z6" s="92"/>
    </row>
    <row r="7" spans="1:26" x14ac:dyDescent="0.15">
      <c r="A7" s="3"/>
      <c r="B7" s="1"/>
      <c r="C7" s="97" t="s">
        <v>587</v>
      </c>
      <c r="D7" s="68"/>
      <c r="E7" s="97" t="s">
        <v>349</v>
      </c>
      <c r="F7" s="1"/>
      <c r="G7" s="3"/>
      <c r="H7" s="92"/>
      <c r="I7" s="92"/>
      <c r="J7" s="92"/>
      <c r="K7" s="92"/>
      <c r="L7" s="92"/>
      <c r="M7" s="92"/>
      <c r="N7" s="92"/>
      <c r="O7" s="92"/>
      <c r="P7" s="92"/>
      <c r="Q7" s="92"/>
      <c r="R7" s="92"/>
      <c r="S7" s="92"/>
      <c r="T7" s="92"/>
      <c r="U7" s="92"/>
      <c r="V7" s="92"/>
      <c r="W7" s="92"/>
      <c r="X7" s="92"/>
      <c r="Y7" s="92"/>
      <c r="Z7" s="92"/>
    </row>
    <row r="8" spans="1:26" x14ac:dyDescent="0.15">
      <c r="A8" s="3"/>
      <c r="B8" s="1"/>
      <c r="C8" s="931">
        <v>1</v>
      </c>
      <c r="D8" s="1"/>
      <c r="E8" s="925">
        <f>C8/3.6</f>
        <v>0.27777777777777779</v>
      </c>
      <c r="F8" s="1"/>
      <c r="G8" s="3"/>
      <c r="H8" s="92"/>
      <c r="I8" s="92"/>
      <c r="J8" s="92"/>
      <c r="K8" s="92"/>
      <c r="L8" s="92"/>
      <c r="M8" s="92"/>
      <c r="N8" s="92"/>
      <c r="O8" s="92"/>
      <c r="P8" s="92"/>
      <c r="Q8" s="92"/>
      <c r="R8" s="92"/>
      <c r="S8" s="92"/>
      <c r="T8" s="92"/>
      <c r="U8" s="92"/>
      <c r="V8" s="92"/>
      <c r="W8" s="92"/>
      <c r="X8" s="92"/>
      <c r="Y8" s="92"/>
      <c r="Z8" s="92"/>
    </row>
    <row r="9" spans="1:26" x14ac:dyDescent="0.15">
      <c r="A9" s="3"/>
      <c r="B9" s="1"/>
      <c r="C9" s="932"/>
      <c r="D9" s="1"/>
      <c r="E9" s="926"/>
      <c r="F9" s="1"/>
      <c r="G9" s="3"/>
      <c r="H9" s="92"/>
      <c r="I9" s="92"/>
      <c r="J9" s="92"/>
      <c r="K9" s="92"/>
      <c r="L9" s="92"/>
      <c r="M9" s="92"/>
      <c r="N9" s="92"/>
      <c r="O9" s="92"/>
      <c r="P9" s="92"/>
      <c r="Q9" s="92"/>
      <c r="R9" s="92"/>
      <c r="S9" s="92"/>
      <c r="T9" s="92"/>
      <c r="U9" s="92"/>
      <c r="V9" s="92"/>
      <c r="W9" s="92"/>
      <c r="X9" s="92"/>
      <c r="Y9" s="92"/>
      <c r="Z9" s="92"/>
    </row>
    <row r="10" spans="1:26" x14ac:dyDescent="0.15">
      <c r="A10" s="3"/>
      <c r="B10" s="1"/>
      <c r="C10" s="933"/>
      <c r="D10" s="1"/>
      <c r="E10" s="927"/>
      <c r="F10" s="1"/>
      <c r="G10" s="3"/>
      <c r="H10" s="92"/>
      <c r="I10" s="92"/>
      <c r="J10" s="92"/>
      <c r="K10" s="92"/>
      <c r="L10" s="92"/>
      <c r="M10" s="92"/>
      <c r="N10" s="92"/>
      <c r="O10" s="92"/>
      <c r="P10" s="92"/>
      <c r="Q10" s="92"/>
      <c r="R10" s="92"/>
      <c r="S10" s="92"/>
      <c r="T10" s="92"/>
      <c r="U10" s="92"/>
      <c r="V10" s="92"/>
      <c r="W10" s="92"/>
      <c r="X10" s="92"/>
      <c r="Y10" s="92"/>
      <c r="Z10" s="92"/>
    </row>
    <row r="11" spans="1:26" x14ac:dyDescent="0.15">
      <c r="A11" s="3"/>
      <c r="B11" s="1"/>
      <c r="C11" s="1"/>
      <c r="D11" s="1"/>
      <c r="E11" s="1"/>
      <c r="F11" s="1"/>
      <c r="G11" s="3"/>
      <c r="H11" s="92"/>
      <c r="I11" s="92"/>
      <c r="J11" s="92"/>
      <c r="K11" s="92"/>
      <c r="L11" s="92"/>
      <c r="M11" s="92"/>
      <c r="N11" s="92"/>
      <c r="O11" s="92"/>
      <c r="P11" s="92"/>
      <c r="Q11" s="92"/>
      <c r="R11" s="92"/>
      <c r="S11" s="92"/>
      <c r="T11" s="92"/>
      <c r="U11" s="92"/>
      <c r="V11" s="92"/>
      <c r="W11" s="92"/>
      <c r="X11" s="92"/>
      <c r="Y11" s="92"/>
      <c r="Z11" s="92"/>
    </row>
    <row r="12" spans="1:26" x14ac:dyDescent="0.15">
      <c r="A12" s="3"/>
      <c r="B12" s="1"/>
      <c r="C12" s="97" t="s">
        <v>349</v>
      </c>
      <c r="D12" s="68"/>
      <c r="E12" s="97" t="s">
        <v>587</v>
      </c>
      <c r="F12" s="1"/>
      <c r="G12" s="3"/>
      <c r="H12" s="92"/>
      <c r="I12" s="92"/>
      <c r="J12" s="92"/>
      <c r="K12" s="92"/>
      <c r="L12" s="92"/>
      <c r="M12" s="92"/>
      <c r="N12" s="92"/>
      <c r="O12" s="92"/>
      <c r="P12" s="92"/>
      <c r="Q12" s="92"/>
      <c r="R12" s="92"/>
      <c r="S12" s="92"/>
      <c r="T12" s="92"/>
      <c r="U12" s="92"/>
      <c r="V12" s="92"/>
      <c r="W12" s="92"/>
      <c r="X12" s="92"/>
      <c r="Y12" s="92"/>
      <c r="Z12" s="92"/>
    </row>
    <row r="13" spans="1:26" x14ac:dyDescent="0.15">
      <c r="A13" s="3"/>
      <c r="B13" s="1"/>
      <c r="C13" s="931">
        <v>1</v>
      </c>
      <c r="D13" s="1"/>
      <c r="E13" s="928">
        <f>C13*3.6</f>
        <v>3.6</v>
      </c>
      <c r="F13" s="1"/>
      <c r="G13" s="3"/>
      <c r="H13" s="92"/>
      <c r="I13" s="92"/>
      <c r="J13" s="92"/>
      <c r="K13" s="92"/>
      <c r="L13" s="92"/>
      <c r="M13" s="92"/>
      <c r="N13" s="92"/>
      <c r="O13" s="92"/>
      <c r="P13" s="92"/>
      <c r="Q13" s="92"/>
      <c r="R13" s="92"/>
      <c r="S13" s="92"/>
      <c r="T13" s="92"/>
      <c r="U13" s="92"/>
      <c r="V13" s="92"/>
      <c r="W13" s="92"/>
      <c r="X13" s="92"/>
      <c r="Y13" s="92"/>
      <c r="Z13" s="92"/>
    </row>
    <row r="14" spans="1:26" x14ac:dyDescent="0.15">
      <c r="A14" s="3"/>
      <c r="B14" s="1"/>
      <c r="C14" s="932"/>
      <c r="D14" s="1"/>
      <c r="E14" s="929"/>
      <c r="F14" s="1"/>
      <c r="G14" s="3"/>
      <c r="H14" s="92"/>
      <c r="I14" s="92"/>
      <c r="J14" s="92"/>
      <c r="K14" s="92"/>
      <c r="L14" s="92"/>
      <c r="M14" s="92"/>
      <c r="N14" s="92"/>
      <c r="O14" s="92"/>
      <c r="P14" s="92"/>
      <c r="Q14" s="92"/>
      <c r="R14" s="92"/>
      <c r="S14" s="92"/>
      <c r="T14" s="92"/>
      <c r="U14" s="92"/>
      <c r="V14" s="92"/>
      <c r="W14" s="92"/>
      <c r="X14" s="92"/>
      <c r="Y14" s="92"/>
      <c r="Z14" s="92"/>
    </row>
    <row r="15" spans="1:26" x14ac:dyDescent="0.15">
      <c r="A15" s="3"/>
      <c r="B15" s="1"/>
      <c r="C15" s="933"/>
      <c r="D15" s="1"/>
      <c r="E15" s="930"/>
      <c r="F15" s="1"/>
      <c r="G15" s="3"/>
      <c r="H15" s="92"/>
      <c r="I15" s="92"/>
      <c r="J15" s="92"/>
      <c r="K15" s="92"/>
      <c r="L15" s="92"/>
      <c r="M15" s="92"/>
      <c r="N15" s="92"/>
      <c r="O15" s="92"/>
      <c r="P15" s="92"/>
      <c r="Q15" s="92"/>
      <c r="R15" s="92"/>
      <c r="S15" s="92"/>
      <c r="T15" s="92"/>
      <c r="U15" s="92"/>
      <c r="V15" s="92"/>
      <c r="W15" s="92"/>
      <c r="X15" s="92"/>
      <c r="Y15" s="92"/>
      <c r="Z15" s="92"/>
    </row>
    <row r="16" spans="1:26" x14ac:dyDescent="0.15">
      <c r="A16" s="3"/>
      <c r="B16" s="1"/>
      <c r="C16" s="8"/>
      <c r="D16" s="8"/>
      <c r="E16" s="8"/>
      <c r="F16" s="1"/>
      <c r="G16" s="3"/>
      <c r="H16" s="92"/>
      <c r="I16" s="92"/>
      <c r="J16" s="92"/>
      <c r="K16" s="92"/>
      <c r="L16" s="92"/>
      <c r="M16" s="92"/>
      <c r="N16" s="92"/>
      <c r="O16" s="92"/>
      <c r="P16" s="92"/>
      <c r="Q16" s="92"/>
      <c r="R16" s="92"/>
      <c r="S16" s="92"/>
      <c r="T16" s="92"/>
      <c r="U16" s="92"/>
      <c r="V16" s="92"/>
      <c r="W16" s="92"/>
      <c r="X16" s="92"/>
      <c r="Y16" s="92"/>
      <c r="Z16" s="92"/>
    </row>
    <row r="17" spans="1:26" x14ac:dyDescent="0.15">
      <c r="A17" s="3"/>
      <c r="B17" s="1"/>
      <c r="C17" s="1"/>
      <c r="D17" s="1"/>
      <c r="E17" s="1"/>
      <c r="F17" s="1"/>
      <c r="G17" s="3"/>
      <c r="H17" s="92"/>
      <c r="I17" s="92"/>
      <c r="J17" s="92"/>
      <c r="K17" s="92"/>
      <c r="L17" s="92"/>
      <c r="M17" s="92"/>
      <c r="N17" s="92"/>
      <c r="O17" s="92"/>
      <c r="P17" s="92"/>
      <c r="Q17" s="92"/>
      <c r="R17" s="92"/>
      <c r="S17" s="92"/>
      <c r="T17" s="92"/>
      <c r="U17" s="92"/>
      <c r="V17" s="92"/>
      <c r="W17" s="92"/>
      <c r="X17" s="92"/>
      <c r="Y17" s="92"/>
      <c r="Z17" s="92"/>
    </row>
    <row r="18" spans="1:26" x14ac:dyDescent="0.15">
      <c r="A18" s="3"/>
      <c r="B18" s="1"/>
      <c r="C18" s="97" t="s">
        <v>588</v>
      </c>
      <c r="D18" s="68"/>
      <c r="E18" s="97" t="s">
        <v>589</v>
      </c>
      <c r="F18" s="1"/>
      <c r="G18" s="3"/>
      <c r="H18" s="92"/>
      <c r="I18" s="92"/>
      <c r="J18" s="92"/>
      <c r="K18" s="92"/>
      <c r="L18" s="92"/>
      <c r="M18" s="92"/>
      <c r="N18" s="92"/>
      <c r="O18" s="92"/>
      <c r="P18" s="92"/>
      <c r="Q18" s="92"/>
      <c r="R18" s="92"/>
      <c r="S18" s="92"/>
      <c r="T18" s="92"/>
      <c r="U18" s="92"/>
      <c r="V18" s="92"/>
      <c r="W18" s="92"/>
      <c r="X18" s="92"/>
      <c r="Y18" s="92"/>
      <c r="Z18" s="92"/>
    </row>
    <row r="19" spans="1:26" x14ac:dyDescent="0.15">
      <c r="A19" s="3"/>
      <c r="B19" s="1"/>
      <c r="C19" s="931">
        <v>1</v>
      </c>
      <c r="D19" s="1"/>
      <c r="E19" s="928">
        <f>C19/1000</f>
        <v>1E-3</v>
      </c>
      <c r="F19" s="1"/>
      <c r="G19" s="3"/>
      <c r="H19" s="92"/>
      <c r="I19" s="92"/>
      <c r="J19" s="92"/>
      <c r="K19" s="92"/>
      <c r="L19" s="92"/>
      <c r="M19" s="92"/>
      <c r="N19" s="92"/>
      <c r="O19" s="92"/>
      <c r="P19" s="92"/>
      <c r="Q19" s="92"/>
      <c r="R19" s="92"/>
      <c r="S19" s="92"/>
      <c r="T19" s="92"/>
      <c r="U19" s="92"/>
      <c r="V19" s="92"/>
      <c r="W19" s="92"/>
      <c r="X19" s="92"/>
      <c r="Y19" s="92"/>
      <c r="Z19" s="92"/>
    </row>
    <row r="20" spans="1:26" x14ac:dyDescent="0.15">
      <c r="A20" s="3"/>
      <c r="B20" s="1"/>
      <c r="C20" s="932"/>
      <c r="D20" s="1"/>
      <c r="E20" s="929"/>
      <c r="F20" s="1"/>
      <c r="G20" s="3"/>
      <c r="H20" s="92"/>
      <c r="I20" s="92"/>
      <c r="J20" s="92"/>
      <c r="K20" s="92"/>
      <c r="L20" s="92"/>
      <c r="M20" s="92"/>
      <c r="N20" s="92"/>
      <c r="O20" s="92"/>
      <c r="P20" s="92"/>
      <c r="Q20" s="92"/>
      <c r="R20" s="92"/>
      <c r="S20" s="92"/>
      <c r="T20" s="92"/>
      <c r="U20" s="92"/>
      <c r="V20" s="92"/>
      <c r="W20" s="92"/>
      <c r="X20" s="92"/>
      <c r="Y20" s="92"/>
      <c r="Z20" s="92"/>
    </row>
    <row r="21" spans="1:26" x14ac:dyDescent="0.15">
      <c r="A21" s="3"/>
      <c r="B21" s="1"/>
      <c r="C21" s="933"/>
      <c r="D21" s="1"/>
      <c r="E21" s="930"/>
      <c r="F21" s="1"/>
      <c r="G21" s="3"/>
      <c r="H21" s="92"/>
      <c r="I21" s="92"/>
      <c r="J21" s="92"/>
      <c r="K21" s="92"/>
      <c r="L21" s="92"/>
      <c r="M21" s="92"/>
      <c r="N21" s="92"/>
      <c r="O21" s="92"/>
      <c r="P21" s="92"/>
      <c r="Q21" s="92"/>
      <c r="R21" s="92"/>
      <c r="S21" s="92"/>
      <c r="T21" s="92"/>
      <c r="U21" s="92"/>
      <c r="V21" s="92"/>
      <c r="W21" s="92"/>
      <c r="X21" s="92"/>
      <c r="Y21" s="92"/>
      <c r="Z21" s="92"/>
    </row>
    <row r="22" spans="1:26" x14ac:dyDescent="0.15">
      <c r="A22" s="3"/>
      <c r="B22" s="1"/>
      <c r="C22" s="1"/>
      <c r="D22" s="1"/>
      <c r="E22" s="1"/>
      <c r="F22" s="1"/>
      <c r="G22" s="3"/>
      <c r="H22" s="92"/>
      <c r="I22" s="92"/>
      <c r="J22" s="92"/>
      <c r="K22" s="92"/>
      <c r="L22" s="92"/>
      <c r="M22" s="92"/>
      <c r="N22" s="92"/>
      <c r="O22" s="92"/>
      <c r="P22" s="92"/>
      <c r="Q22" s="92"/>
      <c r="R22" s="92"/>
      <c r="S22" s="92"/>
      <c r="T22" s="92"/>
      <c r="U22" s="92"/>
      <c r="V22" s="92"/>
      <c r="W22" s="92"/>
      <c r="X22" s="92"/>
      <c r="Y22" s="92"/>
      <c r="Z22" s="92"/>
    </row>
    <row r="23" spans="1:26" x14ac:dyDescent="0.15">
      <c r="A23" s="3"/>
      <c r="B23" s="1"/>
      <c r="C23" s="97" t="s">
        <v>589</v>
      </c>
      <c r="D23" s="68"/>
      <c r="E23" s="97" t="s">
        <v>588</v>
      </c>
      <c r="F23" s="1"/>
      <c r="G23" s="3"/>
      <c r="H23" s="92"/>
      <c r="I23" s="92"/>
      <c r="J23" s="92"/>
      <c r="K23" s="92"/>
      <c r="L23" s="92"/>
      <c r="M23" s="92"/>
      <c r="N23" s="92"/>
      <c r="O23" s="92"/>
      <c r="P23" s="92"/>
      <c r="Q23" s="92"/>
      <c r="R23" s="92"/>
      <c r="S23" s="92"/>
      <c r="T23" s="92"/>
      <c r="U23" s="92"/>
      <c r="V23" s="92"/>
      <c r="W23" s="92"/>
      <c r="X23" s="92"/>
      <c r="Y23" s="92"/>
      <c r="Z23" s="92"/>
    </row>
    <row r="24" spans="1:26" x14ac:dyDescent="0.15">
      <c r="A24" s="3"/>
      <c r="B24" s="1"/>
      <c r="C24" s="931">
        <v>1</v>
      </c>
      <c r="D24" s="1"/>
      <c r="E24" s="928">
        <f>C24*1000</f>
        <v>1000</v>
      </c>
      <c r="F24" s="1"/>
      <c r="G24" s="3"/>
      <c r="H24" s="92"/>
      <c r="I24" s="92"/>
      <c r="J24" s="92"/>
      <c r="K24" s="92"/>
      <c r="L24" s="92"/>
      <c r="M24" s="92"/>
      <c r="N24" s="92"/>
      <c r="O24" s="92"/>
      <c r="P24" s="92"/>
      <c r="Q24" s="92"/>
      <c r="R24" s="92"/>
      <c r="S24" s="92"/>
      <c r="T24" s="92"/>
      <c r="U24" s="92"/>
      <c r="V24" s="92"/>
      <c r="W24" s="92"/>
      <c r="X24" s="92"/>
      <c r="Y24" s="92"/>
      <c r="Z24" s="92"/>
    </row>
    <row r="25" spans="1:26" x14ac:dyDescent="0.15">
      <c r="A25" s="3"/>
      <c r="B25" s="1"/>
      <c r="C25" s="932"/>
      <c r="D25" s="1"/>
      <c r="E25" s="929"/>
      <c r="F25" s="1"/>
      <c r="G25" s="3"/>
      <c r="H25" s="92"/>
      <c r="I25" s="92"/>
      <c r="J25" s="92"/>
      <c r="K25" s="92"/>
      <c r="L25" s="92"/>
      <c r="M25" s="92"/>
      <c r="N25" s="92"/>
      <c r="O25" s="92"/>
      <c r="P25" s="92"/>
      <c r="Q25" s="92"/>
      <c r="R25" s="92"/>
      <c r="S25" s="92"/>
      <c r="T25" s="92"/>
      <c r="U25" s="92"/>
      <c r="V25" s="92"/>
      <c r="W25" s="92"/>
      <c r="X25" s="92"/>
      <c r="Y25" s="92"/>
      <c r="Z25" s="92"/>
    </row>
    <row r="26" spans="1:26" x14ac:dyDescent="0.15">
      <c r="A26" s="3"/>
      <c r="B26" s="1"/>
      <c r="C26" s="933"/>
      <c r="D26" s="1"/>
      <c r="E26" s="930"/>
      <c r="F26" s="1"/>
      <c r="G26" s="3"/>
      <c r="H26" s="92"/>
      <c r="I26" s="92"/>
      <c r="J26" s="92"/>
      <c r="K26" s="92"/>
      <c r="L26" s="92"/>
      <c r="M26" s="92"/>
      <c r="N26" s="92"/>
      <c r="O26" s="92"/>
      <c r="P26" s="92"/>
      <c r="Q26" s="92"/>
      <c r="R26" s="92"/>
      <c r="S26" s="92"/>
      <c r="T26" s="92"/>
      <c r="U26" s="92"/>
      <c r="V26" s="92"/>
      <c r="W26" s="92"/>
      <c r="X26" s="92"/>
      <c r="Y26" s="92"/>
      <c r="Z26" s="92"/>
    </row>
    <row r="27" spans="1:26" x14ac:dyDescent="0.15">
      <c r="A27" s="3"/>
      <c r="B27" s="1"/>
      <c r="C27" s="1"/>
      <c r="D27" s="1"/>
      <c r="E27" s="1"/>
      <c r="F27" s="1"/>
      <c r="G27" s="3"/>
      <c r="H27" s="92"/>
      <c r="I27" s="92"/>
      <c r="J27" s="92"/>
      <c r="K27" s="92"/>
      <c r="L27" s="92"/>
      <c r="M27" s="92"/>
      <c r="N27" s="92"/>
      <c r="O27" s="92"/>
      <c r="P27" s="92"/>
      <c r="Q27" s="92"/>
      <c r="R27" s="92"/>
      <c r="S27" s="92"/>
      <c r="T27" s="92"/>
      <c r="U27" s="92"/>
      <c r="V27" s="92"/>
      <c r="W27" s="92"/>
      <c r="X27" s="92"/>
      <c r="Y27" s="92"/>
      <c r="Z27" s="92"/>
    </row>
    <row r="28" spans="1:26" x14ac:dyDescent="0.15">
      <c r="A28" s="3"/>
      <c r="B28" s="3"/>
      <c r="C28" s="3"/>
      <c r="D28" s="3"/>
      <c r="E28" s="3"/>
      <c r="F28" s="3"/>
      <c r="G28" s="3"/>
      <c r="H28" s="92"/>
      <c r="I28" s="92"/>
      <c r="J28" s="92"/>
      <c r="K28" s="92"/>
      <c r="L28" s="92"/>
      <c r="M28" s="92"/>
      <c r="N28" s="92"/>
      <c r="O28" s="92"/>
      <c r="P28" s="92"/>
      <c r="Q28" s="92"/>
      <c r="R28" s="92"/>
      <c r="S28" s="92"/>
      <c r="T28" s="92"/>
      <c r="U28" s="92"/>
      <c r="V28" s="92"/>
      <c r="W28" s="92"/>
      <c r="X28" s="92"/>
      <c r="Y28" s="92"/>
      <c r="Z28" s="92"/>
    </row>
    <row r="29" spans="1:26" x14ac:dyDescent="0.1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row>
    <row r="30" spans="1:26" x14ac:dyDescent="0.1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row>
    <row r="31" spans="1:26" x14ac:dyDescent="0.1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row>
    <row r="32" spans="1:26"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row>
    <row r="33" spans="1:26"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x14ac:dyDescent="0.15">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6" x14ac:dyDescent="0.15">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x14ac:dyDescent="0.15">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row>
    <row r="37" spans="1:26" x14ac:dyDescent="0.15">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1:26" x14ac:dyDescent="0.15">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6" x14ac:dyDescent="0.15">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row>
    <row r="40" spans="1:26" x14ac:dyDescent="0.1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row>
    <row r="41" spans="1:26" x14ac:dyDescent="0.1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row>
    <row r="42" spans="1:26" x14ac:dyDescent="0.1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row>
    <row r="43" spans="1:26" x14ac:dyDescent="0.1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row>
    <row r="44" spans="1:26" x14ac:dyDescent="0.1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row>
    <row r="45" spans="1:26" x14ac:dyDescent="0.1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row>
    <row r="46" spans="1:26" x14ac:dyDescent="0.1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spans="1:26" x14ac:dyDescent="0.15">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spans="1:26" x14ac:dyDescent="0.1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x14ac:dyDescent="0.15">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6" x14ac:dyDescent="0.1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1:26" x14ac:dyDescent="0.15">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6" x14ac:dyDescent="0.1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x14ac:dyDescent="0.1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6" x14ac:dyDescent="0.1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spans="1:26" x14ac:dyDescent="0.15">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1:26" x14ac:dyDescent="0.1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spans="1:26" x14ac:dyDescent="0.15">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spans="1:26" x14ac:dyDescent="0.1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x14ac:dyDescent="0.1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spans="1:26" x14ac:dyDescent="0.15">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spans="1:26" x14ac:dyDescent="0.15">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spans="1:26"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spans="1:26" x14ac:dyDescent="0.15">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spans="1:26" x14ac:dyDescent="0.1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spans="1:26" x14ac:dyDescent="0.1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x14ac:dyDescent="0.15">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spans="1:26" x14ac:dyDescent="0.15">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spans="1:26" x14ac:dyDescent="0.15">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spans="1:26" x14ac:dyDescent="0.15">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spans="1:26" x14ac:dyDescent="0.15">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spans="1:26" x14ac:dyDescent="0.15">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x14ac:dyDescent="0.1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spans="1:26" x14ac:dyDescent="0.15">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spans="1:26" x14ac:dyDescent="0.1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spans="1:26" x14ac:dyDescent="0.1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spans="1:26" x14ac:dyDescent="0.1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spans="1:26" x14ac:dyDescent="0.1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x14ac:dyDescent="0.1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spans="1:26"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spans="1:26" x14ac:dyDescent="0.1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spans="1:26" x14ac:dyDescent="0.1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spans="1:26" x14ac:dyDescent="0.15">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spans="1:26" x14ac:dyDescent="0.1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spans="1:26" x14ac:dyDescent="0.1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spans="1:26"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spans="1:26" x14ac:dyDescent="0.15">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spans="1:26" x14ac:dyDescent="0.15">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spans="1:26" x14ac:dyDescent="0.15">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spans="1:26" x14ac:dyDescent="0.1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spans="1:26" x14ac:dyDescent="0.15">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spans="1:26" x14ac:dyDescent="0.15">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spans="1:26" x14ac:dyDescent="0.15">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spans="1:26" x14ac:dyDescent="0.15">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spans="1:26" x14ac:dyDescent="0.15">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x14ac:dyDescent="0.1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spans="1:26" x14ac:dyDescent="0.1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spans="1:26" x14ac:dyDescent="0.1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spans="1:26" x14ac:dyDescent="0.15">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spans="1:26" x14ac:dyDescent="0.15">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spans="1:26" x14ac:dyDescent="0.15">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x14ac:dyDescent="0.15">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x14ac:dyDescent="0.15">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x14ac:dyDescent="0.15">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x14ac:dyDescent="0.15">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x14ac:dyDescent="0.15">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x14ac:dyDescent="0.15">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x14ac:dyDescent="0.15">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x14ac:dyDescent="0.15">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x14ac:dyDescent="0.15">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x14ac:dyDescent="0.15">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x14ac:dyDescent="0.15">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x14ac:dyDescent="0.15">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x14ac:dyDescent="0.15">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x14ac:dyDescent="0.15">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x14ac:dyDescent="0.15">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x14ac:dyDescent="0.15">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x14ac:dyDescent="0.15">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x14ac:dyDescent="0.15">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x14ac:dyDescent="0.15">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x14ac:dyDescent="0.15">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x14ac:dyDescent="0.15">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x14ac:dyDescent="0.15">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x14ac:dyDescent="0.15">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x14ac:dyDescent="0.15">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x14ac:dyDescent="0.15">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x14ac:dyDescent="0.15">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x14ac:dyDescent="0.15">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x14ac:dyDescent="0.1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x14ac:dyDescent="0.15">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x14ac:dyDescent="0.15">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x14ac:dyDescent="0.15">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x14ac:dyDescent="0.15">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x14ac:dyDescent="0.15">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x14ac:dyDescent="0.15">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x14ac:dyDescent="0.15">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x14ac:dyDescent="0.15">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x14ac:dyDescent="0.15">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x14ac:dyDescent="0.15">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x14ac:dyDescent="0.15">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x14ac:dyDescent="0.15">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x14ac:dyDescent="0.15">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x14ac:dyDescent="0.15">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x14ac:dyDescent="0.15">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x14ac:dyDescent="0.15">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x14ac:dyDescent="0.15">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x14ac:dyDescent="0.15">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x14ac:dyDescent="0.15">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x14ac:dyDescent="0.15">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x14ac:dyDescent="0.15">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x14ac:dyDescent="0.15">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x14ac:dyDescent="0.15">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x14ac:dyDescent="0.1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x14ac:dyDescent="0.15">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x14ac:dyDescent="0.15">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x14ac:dyDescent="0.15">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x14ac:dyDescent="0.15">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x14ac:dyDescent="0.15">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x14ac:dyDescent="0.1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x14ac:dyDescent="0.1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x14ac:dyDescent="0.15">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x14ac:dyDescent="0.15">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x14ac:dyDescent="0.15">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x14ac:dyDescent="0.15">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x14ac:dyDescent="0.15">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x14ac:dyDescent="0.15">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x14ac:dyDescent="0.15">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x14ac:dyDescent="0.15">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x14ac:dyDescent="0.15">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x14ac:dyDescent="0.15">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x14ac:dyDescent="0.15">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x14ac:dyDescent="0.15">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x14ac:dyDescent="0.15">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x14ac:dyDescent="0.15">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x14ac:dyDescent="0.15">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x14ac:dyDescent="0.15">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x14ac:dyDescent="0.15">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x14ac:dyDescent="0.15">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x14ac:dyDescent="0.15">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x14ac:dyDescent="0.15">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x14ac:dyDescent="0.15">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x14ac:dyDescent="0.15">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x14ac:dyDescent="0.15">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x14ac:dyDescent="0.15">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x14ac:dyDescent="0.15">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x14ac:dyDescent="0.15">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x14ac:dyDescent="0.15">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x14ac:dyDescent="0.15">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x14ac:dyDescent="0.15">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x14ac:dyDescent="0.15">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x14ac:dyDescent="0.15">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x14ac:dyDescent="0.15">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spans="1:26" x14ac:dyDescent="0.15">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spans="1:26" x14ac:dyDescent="0.15">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spans="1:26" x14ac:dyDescent="0.15">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spans="1:26" x14ac:dyDescent="0.15">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spans="1:26" x14ac:dyDescent="0.15">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spans="1:26" x14ac:dyDescent="0.15">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spans="1:26" x14ac:dyDescent="0.15">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spans="1:26" x14ac:dyDescent="0.15">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x14ac:dyDescent="0.15">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spans="1:26" x14ac:dyDescent="0.15">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spans="1:26" x14ac:dyDescent="0.15">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spans="1:26" x14ac:dyDescent="0.15">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spans="1:26" x14ac:dyDescent="0.15">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spans="1:26" x14ac:dyDescent="0.15">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spans="1:26" x14ac:dyDescent="0.15">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spans="1:26" x14ac:dyDescent="0.15">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spans="1:26" x14ac:dyDescent="0.15">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spans="1:26" x14ac:dyDescent="0.15">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spans="1:26" x14ac:dyDescent="0.15">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spans="1:26" x14ac:dyDescent="0.15">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spans="1:26" x14ac:dyDescent="0.15">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spans="1:26" x14ac:dyDescent="0.15">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spans="1:26" x14ac:dyDescent="0.15">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spans="1:26" x14ac:dyDescent="0.15">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spans="1:26" x14ac:dyDescent="0.15">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spans="1:26" x14ac:dyDescent="0.15">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spans="1:26" x14ac:dyDescent="0.15">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spans="1:26"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spans="1:26"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spans="1:26"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spans="1:26" x14ac:dyDescent="0.15">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spans="1:26" x14ac:dyDescent="0.15">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spans="1:26" x14ac:dyDescent="0.15">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spans="1:26" x14ac:dyDescent="0.15">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spans="1:26" x14ac:dyDescent="0.15">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spans="1:26" x14ac:dyDescent="0.15">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spans="1:26" x14ac:dyDescent="0.15">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spans="1:26" x14ac:dyDescent="0.15">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x14ac:dyDescent="0.15">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spans="1:26" x14ac:dyDescent="0.15">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spans="1:26" x14ac:dyDescent="0.15">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spans="1:26" x14ac:dyDescent="0.15">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spans="1:26" x14ac:dyDescent="0.15">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spans="1:26" x14ac:dyDescent="0.15">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spans="1:26" x14ac:dyDescent="0.15">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spans="1:26" x14ac:dyDescent="0.15">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spans="1:26" x14ac:dyDescent="0.15">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spans="1:26" x14ac:dyDescent="0.15">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spans="1:26" x14ac:dyDescent="0.15">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spans="1:26" x14ac:dyDescent="0.1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spans="1:26" x14ac:dyDescent="0.15">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spans="1:26" x14ac:dyDescent="0.15">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spans="1:26" x14ac:dyDescent="0.15">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spans="1:26" x14ac:dyDescent="0.15">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spans="1:26" x14ac:dyDescent="0.15">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spans="1:26" x14ac:dyDescent="0.15">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spans="1:26" x14ac:dyDescent="0.15">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spans="1:26" x14ac:dyDescent="0.15">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spans="1:26" x14ac:dyDescent="0.15">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spans="1:26" x14ac:dyDescent="0.15">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spans="1:26" x14ac:dyDescent="0.15">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spans="1:26" x14ac:dyDescent="0.15">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spans="1:26" x14ac:dyDescent="0.15">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spans="1:26" x14ac:dyDescent="0.15">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spans="1:26" x14ac:dyDescent="0.15">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spans="1:26" x14ac:dyDescent="0.15">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spans="1:26" x14ac:dyDescent="0.15">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spans="1:26" x14ac:dyDescent="0.15">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spans="1:26" x14ac:dyDescent="0.15">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spans="1:26" x14ac:dyDescent="0.15">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spans="1:26" x14ac:dyDescent="0.15">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spans="1:26" x14ac:dyDescent="0.15">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spans="1:26" x14ac:dyDescent="0.15">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spans="1:26" x14ac:dyDescent="0.15">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spans="1:26" x14ac:dyDescent="0.15">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spans="1:26" x14ac:dyDescent="0.15">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spans="1:26" x14ac:dyDescent="0.15">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spans="1:26" x14ac:dyDescent="0.15">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spans="1:26" x14ac:dyDescent="0.15">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spans="1:26" x14ac:dyDescent="0.15">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spans="1:26" x14ac:dyDescent="0.15">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spans="1:26" x14ac:dyDescent="0.15">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spans="1:26" x14ac:dyDescent="0.15">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spans="1:26" x14ac:dyDescent="0.15">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spans="1:26" x14ac:dyDescent="0.15">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spans="1:26" x14ac:dyDescent="0.15">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spans="1:26" x14ac:dyDescent="0.15">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spans="1:26" x14ac:dyDescent="0.15">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spans="1:26" x14ac:dyDescent="0.15">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spans="1:26" x14ac:dyDescent="0.15">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spans="1:26" x14ac:dyDescent="0.15">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spans="1:26" x14ac:dyDescent="0.1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spans="1:26" x14ac:dyDescent="0.15">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spans="1:26" x14ac:dyDescent="0.15">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spans="1:26" x14ac:dyDescent="0.15">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spans="1:26" x14ac:dyDescent="0.15">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spans="1:26" x14ac:dyDescent="0.15">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spans="1:26" x14ac:dyDescent="0.15">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spans="1:26" x14ac:dyDescent="0.15">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spans="1:26" x14ac:dyDescent="0.1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spans="1:26" x14ac:dyDescent="0.15">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1:26" x14ac:dyDescent="0.15">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1:26" x14ac:dyDescent="0.15">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1:26" x14ac:dyDescent="0.15">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spans="1:26" x14ac:dyDescent="0.15">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spans="1:26" x14ac:dyDescent="0.15">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spans="1:26" x14ac:dyDescent="0.15">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spans="1:26" x14ac:dyDescent="0.15">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spans="1:26" x14ac:dyDescent="0.1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spans="1:26" x14ac:dyDescent="0.15">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spans="1:26" x14ac:dyDescent="0.15">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spans="1:26" x14ac:dyDescent="0.15">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spans="1:26" x14ac:dyDescent="0.15">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spans="1:26" x14ac:dyDescent="0.15">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spans="1:26" x14ac:dyDescent="0.15">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spans="1:26" x14ac:dyDescent="0.15">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spans="1:26" x14ac:dyDescent="0.15">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spans="1:26" x14ac:dyDescent="0.15">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x14ac:dyDescent="0.15">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x14ac:dyDescent="0.15">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x14ac:dyDescent="0.15">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x14ac:dyDescent="0.15">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x14ac:dyDescent="0.15">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x14ac:dyDescent="0.15">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x14ac:dyDescent="0.15">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x14ac:dyDescent="0.15">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x14ac:dyDescent="0.15">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x14ac:dyDescent="0.15">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x14ac:dyDescent="0.15">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x14ac:dyDescent="0.15">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x14ac:dyDescent="0.15">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x14ac:dyDescent="0.15">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x14ac:dyDescent="0.15">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x14ac:dyDescent="0.15">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x14ac:dyDescent="0.15">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x14ac:dyDescent="0.15">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x14ac:dyDescent="0.15">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x14ac:dyDescent="0.15">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x14ac:dyDescent="0.15">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x14ac:dyDescent="0.15">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x14ac:dyDescent="0.15">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x14ac:dyDescent="0.15">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x14ac:dyDescent="0.15">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x14ac:dyDescent="0.15">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x14ac:dyDescent="0.15">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x14ac:dyDescent="0.15">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x14ac:dyDescent="0.15">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x14ac:dyDescent="0.15">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x14ac:dyDescent="0.15">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x14ac:dyDescent="0.15">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x14ac:dyDescent="0.15">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x14ac:dyDescent="0.15">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x14ac:dyDescent="0.15">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x14ac:dyDescent="0.15">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x14ac:dyDescent="0.15">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x14ac:dyDescent="0.15">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x14ac:dyDescent="0.15">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x14ac:dyDescent="0.15">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x14ac:dyDescent="0.15">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x14ac:dyDescent="0.15">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x14ac:dyDescent="0.15">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x14ac:dyDescent="0.15">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x14ac:dyDescent="0.15">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x14ac:dyDescent="0.15">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x14ac:dyDescent="0.15">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x14ac:dyDescent="0.15">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x14ac:dyDescent="0.15">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x14ac:dyDescent="0.15">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x14ac:dyDescent="0.15">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x14ac:dyDescent="0.15">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x14ac:dyDescent="0.15">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x14ac:dyDescent="0.15">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x14ac:dyDescent="0.15">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x14ac:dyDescent="0.15">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x14ac:dyDescent="0.1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x14ac:dyDescent="0.15">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x14ac:dyDescent="0.15">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x14ac:dyDescent="0.15">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x14ac:dyDescent="0.15">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x14ac:dyDescent="0.15">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x14ac:dyDescent="0.15">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x14ac:dyDescent="0.15">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x14ac:dyDescent="0.15">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x14ac:dyDescent="0.15">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x14ac:dyDescent="0.15">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x14ac:dyDescent="0.15">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x14ac:dyDescent="0.15">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x14ac:dyDescent="0.15">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x14ac:dyDescent="0.15">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x14ac:dyDescent="0.15">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x14ac:dyDescent="0.15">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x14ac:dyDescent="0.15">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x14ac:dyDescent="0.15">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x14ac:dyDescent="0.15">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x14ac:dyDescent="0.15">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x14ac:dyDescent="0.15">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x14ac:dyDescent="0.15">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x14ac:dyDescent="0.15">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x14ac:dyDescent="0.15">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x14ac:dyDescent="0.15">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x14ac:dyDescent="0.15">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x14ac:dyDescent="0.15">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x14ac:dyDescent="0.15">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x14ac:dyDescent="0.15">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x14ac:dyDescent="0.15">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x14ac:dyDescent="0.15">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x14ac:dyDescent="0.15">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x14ac:dyDescent="0.15">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x14ac:dyDescent="0.15">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x14ac:dyDescent="0.15">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x14ac:dyDescent="0.15">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x14ac:dyDescent="0.15">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x14ac:dyDescent="0.15">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x14ac:dyDescent="0.15">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x14ac:dyDescent="0.15">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x14ac:dyDescent="0.15">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x14ac:dyDescent="0.15">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x14ac:dyDescent="0.15">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x14ac:dyDescent="0.15">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x14ac:dyDescent="0.15">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x14ac:dyDescent="0.15">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x14ac:dyDescent="0.15">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x14ac:dyDescent="0.15">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x14ac:dyDescent="0.15">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x14ac:dyDescent="0.15">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x14ac:dyDescent="0.15">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x14ac:dyDescent="0.15">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x14ac:dyDescent="0.15">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x14ac:dyDescent="0.15">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x14ac:dyDescent="0.15">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x14ac:dyDescent="0.15">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x14ac:dyDescent="0.15">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x14ac:dyDescent="0.15">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x14ac:dyDescent="0.15">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x14ac:dyDescent="0.15">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x14ac:dyDescent="0.15">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x14ac:dyDescent="0.15">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x14ac:dyDescent="0.15">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x14ac:dyDescent="0.15">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x14ac:dyDescent="0.15">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x14ac:dyDescent="0.15">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x14ac:dyDescent="0.15">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x14ac:dyDescent="0.15">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x14ac:dyDescent="0.15">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x14ac:dyDescent="0.15">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x14ac:dyDescent="0.15">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x14ac:dyDescent="0.15">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x14ac:dyDescent="0.15">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x14ac:dyDescent="0.15">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x14ac:dyDescent="0.15">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x14ac:dyDescent="0.15">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x14ac:dyDescent="0.15">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x14ac:dyDescent="0.15">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x14ac:dyDescent="0.15">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x14ac:dyDescent="0.15">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x14ac:dyDescent="0.15">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x14ac:dyDescent="0.15">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x14ac:dyDescent="0.15">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x14ac:dyDescent="0.15">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x14ac:dyDescent="0.15">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x14ac:dyDescent="0.15">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x14ac:dyDescent="0.15">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x14ac:dyDescent="0.15">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x14ac:dyDescent="0.15">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x14ac:dyDescent="0.15">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x14ac:dyDescent="0.15">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x14ac:dyDescent="0.15">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x14ac:dyDescent="0.15">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x14ac:dyDescent="0.15">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x14ac:dyDescent="0.15">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x14ac:dyDescent="0.15">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x14ac:dyDescent="0.15">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x14ac:dyDescent="0.15">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x14ac:dyDescent="0.15">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x14ac:dyDescent="0.15">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x14ac:dyDescent="0.15">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x14ac:dyDescent="0.1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x14ac:dyDescent="0.15">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x14ac:dyDescent="0.15">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x14ac:dyDescent="0.15">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x14ac:dyDescent="0.15">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x14ac:dyDescent="0.15">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x14ac:dyDescent="0.15">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x14ac:dyDescent="0.15">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x14ac:dyDescent="0.15">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x14ac:dyDescent="0.15">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x14ac:dyDescent="0.15">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x14ac:dyDescent="0.15">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x14ac:dyDescent="0.15">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x14ac:dyDescent="0.15">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x14ac:dyDescent="0.15">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x14ac:dyDescent="0.15">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x14ac:dyDescent="0.15">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x14ac:dyDescent="0.15">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x14ac:dyDescent="0.15">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x14ac:dyDescent="0.15">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x14ac:dyDescent="0.15">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x14ac:dyDescent="0.15">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x14ac:dyDescent="0.15">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x14ac:dyDescent="0.15">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x14ac:dyDescent="0.15">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x14ac:dyDescent="0.15">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x14ac:dyDescent="0.15">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x14ac:dyDescent="0.15">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x14ac:dyDescent="0.15">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x14ac:dyDescent="0.15">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x14ac:dyDescent="0.15">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x14ac:dyDescent="0.15">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x14ac:dyDescent="0.15">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x14ac:dyDescent="0.15">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x14ac:dyDescent="0.15">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x14ac:dyDescent="0.15">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x14ac:dyDescent="0.15">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x14ac:dyDescent="0.15">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x14ac:dyDescent="0.15">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x14ac:dyDescent="0.15">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x14ac:dyDescent="0.15">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x14ac:dyDescent="0.15">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spans="1:26" x14ac:dyDescent="0.15">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spans="1:26" x14ac:dyDescent="0.15">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spans="1:26" x14ac:dyDescent="0.15">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spans="1:26" x14ac:dyDescent="0.15">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spans="1:26" x14ac:dyDescent="0.15">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spans="1:26" x14ac:dyDescent="0.15">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spans="1:26" x14ac:dyDescent="0.15">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spans="1:26" x14ac:dyDescent="0.15">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spans="1:26" x14ac:dyDescent="0.15">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spans="1:26" x14ac:dyDescent="0.15">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spans="1:26" x14ac:dyDescent="0.15">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spans="1:26" x14ac:dyDescent="0.15">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spans="1:26" x14ac:dyDescent="0.15">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spans="1:26" x14ac:dyDescent="0.15">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spans="1:26" x14ac:dyDescent="0.15">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spans="1:26" x14ac:dyDescent="0.15">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spans="1:26" x14ac:dyDescent="0.15">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spans="1:26" x14ac:dyDescent="0.15">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spans="1:26" x14ac:dyDescent="0.15">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spans="1:26" x14ac:dyDescent="0.15">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spans="1:26" x14ac:dyDescent="0.15">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spans="1:26" x14ac:dyDescent="0.15">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spans="1:26" x14ac:dyDescent="0.15">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spans="1:26" x14ac:dyDescent="0.15">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spans="1:26" x14ac:dyDescent="0.15">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spans="1:26" x14ac:dyDescent="0.15">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spans="1:26" x14ac:dyDescent="0.15">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spans="1:26" x14ac:dyDescent="0.15">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spans="1:26" x14ac:dyDescent="0.15">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spans="1:26" x14ac:dyDescent="0.15">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spans="1:26" x14ac:dyDescent="0.15">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spans="1:26" x14ac:dyDescent="0.15">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spans="1:26" x14ac:dyDescent="0.15">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spans="1:26" x14ac:dyDescent="0.15">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spans="1:26" x14ac:dyDescent="0.15">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spans="1:26" x14ac:dyDescent="0.15">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spans="1:26" x14ac:dyDescent="0.15">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spans="1:26" x14ac:dyDescent="0.15">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spans="1:26" x14ac:dyDescent="0.15">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spans="1:26" x14ac:dyDescent="0.15">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spans="1:26" x14ac:dyDescent="0.15">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spans="1:26" x14ac:dyDescent="0.15">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spans="1:26" x14ac:dyDescent="0.15">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spans="1:26" x14ac:dyDescent="0.15">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spans="1:26" x14ac:dyDescent="0.15">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spans="1:26" x14ac:dyDescent="0.15">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spans="1:26" x14ac:dyDescent="0.15">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spans="1:26" x14ac:dyDescent="0.15">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spans="1:26" x14ac:dyDescent="0.15">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spans="1:26" x14ac:dyDescent="0.15">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spans="1:26" x14ac:dyDescent="0.15">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spans="1:26" x14ac:dyDescent="0.15">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spans="1:26" x14ac:dyDescent="0.15">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spans="1:26" x14ac:dyDescent="0.15">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spans="1:26" x14ac:dyDescent="0.15">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spans="1:26" x14ac:dyDescent="0.15">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spans="1:26" x14ac:dyDescent="0.15">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spans="1:26" x14ac:dyDescent="0.15">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spans="1:26" x14ac:dyDescent="0.15">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spans="1:26" x14ac:dyDescent="0.15">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spans="1:26" x14ac:dyDescent="0.15">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spans="1:26" x14ac:dyDescent="0.15">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spans="1:26" x14ac:dyDescent="0.15">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spans="1:26" x14ac:dyDescent="0.15">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spans="1:26" x14ac:dyDescent="0.15">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spans="1:26" x14ac:dyDescent="0.15">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spans="1:26" x14ac:dyDescent="0.15">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spans="1:26" x14ac:dyDescent="0.15">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spans="1:26" x14ac:dyDescent="0.15">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spans="1:26" x14ac:dyDescent="0.15">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spans="1:26" x14ac:dyDescent="0.15">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spans="1:26" x14ac:dyDescent="0.15">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spans="1:26" x14ac:dyDescent="0.15">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spans="1:26" x14ac:dyDescent="0.15">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spans="1:26" x14ac:dyDescent="0.15">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spans="1:26" x14ac:dyDescent="0.15">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spans="1:26" x14ac:dyDescent="0.15">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spans="1:26" x14ac:dyDescent="0.15">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spans="1:26" x14ac:dyDescent="0.15">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spans="1:26" x14ac:dyDescent="0.15">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spans="1:26" x14ac:dyDescent="0.15">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spans="1:26" x14ac:dyDescent="0.15">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spans="1:26" x14ac:dyDescent="0.15">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spans="1:26" x14ac:dyDescent="0.15">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spans="1:26" x14ac:dyDescent="0.15">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spans="1:26" x14ac:dyDescent="0.15">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spans="1:26" x14ac:dyDescent="0.15">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spans="1:26" x14ac:dyDescent="0.15">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spans="1:26" x14ac:dyDescent="0.15">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spans="1:26" x14ac:dyDescent="0.15">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spans="1:26" x14ac:dyDescent="0.15">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spans="1:26" x14ac:dyDescent="0.15">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spans="1:26" x14ac:dyDescent="0.15">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spans="1:26" x14ac:dyDescent="0.15">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spans="1:26" x14ac:dyDescent="0.15">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spans="1:26" x14ac:dyDescent="0.15">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spans="1:26" x14ac:dyDescent="0.15">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spans="1:26" x14ac:dyDescent="0.15">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spans="1:26" x14ac:dyDescent="0.15">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spans="1:26" x14ac:dyDescent="0.15">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spans="1:26" x14ac:dyDescent="0.15">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spans="1:26" x14ac:dyDescent="0.15">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spans="1:26" x14ac:dyDescent="0.15">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spans="1:26" x14ac:dyDescent="0.15">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spans="1:26" x14ac:dyDescent="0.15">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spans="1:26" x14ac:dyDescent="0.15">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spans="1:26" x14ac:dyDescent="0.15">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spans="1:26" x14ac:dyDescent="0.15">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spans="1:26" x14ac:dyDescent="0.15">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spans="1:26" x14ac:dyDescent="0.15">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spans="1:26" x14ac:dyDescent="0.15">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spans="1:26" x14ac:dyDescent="0.15">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spans="1:26" x14ac:dyDescent="0.15">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spans="1:26" x14ac:dyDescent="0.15">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spans="1:26" x14ac:dyDescent="0.15">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spans="1:26" x14ac:dyDescent="0.15">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spans="1:26" x14ac:dyDescent="0.15">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spans="1:26" x14ac:dyDescent="0.15">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spans="1:26" x14ac:dyDescent="0.15">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spans="1:26" x14ac:dyDescent="0.15">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spans="1:26" x14ac:dyDescent="0.15">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spans="1:26" x14ac:dyDescent="0.15">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spans="1:26" x14ac:dyDescent="0.15">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spans="1:26" x14ac:dyDescent="0.15">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spans="1:26" x14ac:dyDescent="0.15">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spans="1:26" x14ac:dyDescent="0.15">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spans="1:26" x14ac:dyDescent="0.15">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spans="1:26" x14ac:dyDescent="0.15">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spans="1:26" x14ac:dyDescent="0.15">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spans="1:26" x14ac:dyDescent="0.15">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spans="1:26" x14ac:dyDescent="0.15">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spans="1:26" x14ac:dyDescent="0.15">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spans="1:26" x14ac:dyDescent="0.15">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spans="1:26" x14ac:dyDescent="0.15">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spans="1:26" x14ac:dyDescent="0.15">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spans="1:26" x14ac:dyDescent="0.15">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spans="1:26" x14ac:dyDescent="0.15">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spans="1:26" x14ac:dyDescent="0.15">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spans="1:26" x14ac:dyDescent="0.15">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spans="1:26" x14ac:dyDescent="0.15">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spans="1:26" x14ac:dyDescent="0.15">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spans="1:26" x14ac:dyDescent="0.15">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spans="1:26" x14ac:dyDescent="0.15">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spans="1:26" x14ac:dyDescent="0.15">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spans="1:26" x14ac:dyDescent="0.15">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spans="1:26" x14ac:dyDescent="0.15">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spans="1:26" x14ac:dyDescent="0.15">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spans="1:26" x14ac:dyDescent="0.15">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spans="1:26" x14ac:dyDescent="0.15">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spans="1:26" x14ac:dyDescent="0.15">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spans="1:26" x14ac:dyDescent="0.15">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spans="1:26" x14ac:dyDescent="0.15">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spans="1:26" x14ac:dyDescent="0.15">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spans="1:26" x14ac:dyDescent="0.15">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spans="1:26" x14ac:dyDescent="0.15">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spans="1:26" x14ac:dyDescent="0.15">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spans="1:26" x14ac:dyDescent="0.15">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spans="1:26" x14ac:dyDescent="0.15">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spans="1:26" x14ac:dyDescent="0.15">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spans="1:26" x14ac:dyDescent="0.15">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spans="1:26" x14ac:dyDescent="0.15">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spans="1:26" x14ac:dyDescent="0.15">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spans="1:26" x14ac:dyDescent="0.15">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spans="1:26" x14ac:dyDescent="0.15">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spans="1:26" x14ac:dyDescent="0.15">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spans="1:26" x14ac:dyDescent="0.15">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spans="1:26" x14ac:dyDescent="0.15">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spans="1:26" x14ac:dyDescent="0.15">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spans="1:26" x14ac:dyDescent="0.15">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spans="1:26" x14ac:dyDescent="0.15">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spans="1:26" x14ac:dyDescent="0.15">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spans="1:26" x14ac:dyDescent="0.15">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spans="1:26" x14ac:dyDescent="0.15">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spans="1:26" x14ac:dyDescent="0.15">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spans="1:26" x14ac:dyDescent="0.15">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spans="1:26" x14ac:dyDescent="0.15">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spans="1:26" x14ac:dyDescent="0.15">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spans="1:26" x14ac:dyDescent="0.15">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spans="1:26" x14ac:dyDescent="0.15">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spans="1:26" x14ac:dyDescent="0.15">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spans="1:26" x14ac:dyDescent="0.15">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spans="1:26" x14ac:dyDescent="0.15">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spans="1:26" x14ac:dyDescent="0.15">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spans="1:26" x14ac:dyDescent="0.15">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spans="1:26" x14ac:dyDescent="0.15">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spans="1:26" x14ac:dyDescent="0.15">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spans="1:26" x14ac:dyDescent="0.15">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spans="1:26" x14ac:dyDescent="0.15">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spans="1:26" x14ac:dyDescent="0.15">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spans="1:26" x14ac:dyDescent="0.15">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spans="1:26" x14ac:dyDescent="0.15">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spans="1:26" x14ac:dyDescent="0.15">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spans="1:26" x14ac:dyDescent="0.15">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spans="1:26" x14ac:dyDescent="0.15">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spans="1:26" x14ac:dyDescent="0.15">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spans="1:26" x14ac:dyDescent="0.15">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spans="1:26" x14ac:dyDescent="0.15">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spans="1:26" x14ac:dyDescent="0.15">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spans="1:26" x14ac:dyDescent="0.15">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spans="1:26" x14ac:dyDescent="0.15">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spans="1:26" x14ac:dyDescent="0.15">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spans="1:26" x14ac:dyDescent="0.15">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spans="1:26" x14ac:dyDescent="0.15">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spans="1:26" x14ac:dyDescent="0.15">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spans="1:26" x14ac:dyDescent="0.15">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spans="1:26" x14ac:dyDescent="0.15">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spans="1:26" x14ac:dyDescent="0.15">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spans="1:26" x14ac:dyDescent="0.15">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spans="1:26" x14ac:dyDescent="0.15">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spans="1:26" x14ac:dyDescent="0.15">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spans="1:26" x14ac:dyDescent="0.15">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spans="1:26" x14ac:dyDescent="0.15">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spans="1:26" x14ac:dyDescent="0.15">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spans="1:26" x14ac:dyDescent="0.15">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spans="1:26" x14ac:dyDescent="0.15">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spans="1:26" x14ac:dyDescent="0.15">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spans="1:26" x14ac:dyDescent="0.15">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spans="1:26" x14ac:dyDescent="0.15">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spans="1:26" x14ac:dyDescent="0.15">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spans="1:26" x14ac:dyDescent="0.15">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spans="1:26" x14ac:dyDescent="0.15">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spans="1:26" x14ac:dyDescent="0.15">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spans="1:26" x14ac:dyDescent="0.15">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spans="1:26" x14ac:dyDescent="0.15">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spans="1:26" x14ac:dyDescent="0.15">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spans="1:26" x14ac:dyDescent="0.15">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spans="1:26" x14ac:dyDescent="0.15">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spans="1:26" x14ac:dyDescent="0.15">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spans="1:26" x14ac:dyDescent="0.15">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spans="1:26" x14ac:dyDescent="0.15">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spans="1:26" x14ac:dyDescent="0.15">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spans="1:26" x14ac:dyDescent="0.15">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spans="1:26" x14ac:dyDescent="0.15">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spans="1:26" x14ac:dyDescent="0.15">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spans="1:26" x14ac:dyDescent="0.15">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spans="1:26" x14ac:dyDescent="0.15">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spans="1:26" x14ac:dyDescent="0.15">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spans="1:26" x14ac:dyDescent="0.15">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spans="1:26" x14ac:dyDescent="0.15">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spans="1:26" x14ac:dyDescent="0.15">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spans="1:26" x14ac:dyDescent="0.15">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spans="1:26" x14ac:dyDescent="0.15">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spans="1:26" x14ac:dyDescent="0.15">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spans="1:26" x14ac:dyDescent="0.15">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spans="1:26" x14ac:dyDescent="0.15">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spans="1:26" x14ac:dyDescent="0.15">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spans="1:26" x14ac:dyDescent="0.15">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spans="1:26" x14ac:dyDescent="0.15">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spans="1:26" x14ac:dyDescent="0.15">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spans="1:26" x14ac:dyDescent="0.15">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spans="1:26" x14ac:dyDescent="0.15">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spans="1:26" x14ac:dyDescent="0.15">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spans="1:26" x14ac:dyDescent="0.15">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spans="1:26" x14ac:dyDescent="0.15">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spans="1:26" x14ac:dyDescent="0.15">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spans="1:26" x14ac:dyDescent="0.15">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spans="1:26" x14ac:dyDescent="0.15">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spans="1:26" x14ac:dyDescent="0.15">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spans="1:26" x14ac:dyDescent="0.15">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spans="1:26" x14ac:dyDescent="0.15">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spans="1:26" x14ac:dyDescent="0.15">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spans="1:26" x14ac:dyDescent="0.15">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spans="1:26" x14ac:dyDescent="0.15">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spans="1:26" x14ac:dyDescent="0.15">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spans="1:26" x14ac:dyDescent="0.15">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spans="1:26" x14ac:dyDescent="0.15">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spans="1:26" x14ac:dyDescent="0.15">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spans="1:26" x14ac:dyDescent="0.15">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spans="1:26" x14ac:dyDescent="0.15">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spans="1:26" x14ac:dyDescent="0.15">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spans="1:26" x14ac:dyDescent="0.15">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spans="1:26" x14ac:dyDescent="0.15">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spans="1:26" x14ac:dyDescent="0.15">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spans="1:26" x14ac:dyDescent="0.15">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spans="1:26" x14ac:dyDescent="0.15">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spans="1:26" x14ac:dyDescent="0.15">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spans="1:26" x14ac:dyDescent="0.15">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spans="1:26" x14ac:dyDescent="0.15">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spans="1:26" x14ac:dyDescent="0.15">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spans="1:26" x14ac:dyDescent="0.15">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spans="1:26" x14ac:dyDescent="0.15">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spans="1:26" x14ac:dyDescent="0.15">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spans="1:26" x14ac:dyDescent="0.15">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spans="1:26" x14ac:dyDescent="0.15">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spans="1:26" x14ac:dyDescent="0.15">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spans="1:26" x14ac:dyDescent="0.15">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spans="1:26" x14ac:dyDescent="0.15">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spans="1:26" x14ac:dyDescent="0.15">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spans="1:26" x14ac:dyDescent="0.15">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spans="1:26" x14ac:dyDescent="0.15">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spans="1:26" x14ac:dyDescent="0.15">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spans="1:26" x14ac:dyDescent="0.15">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spans="1:26" x14ac:dyDescent="0.15">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spans="1:26" x14ac:dyDescent="0.15">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spans="1:26" x14ac:dyDescent="0.15">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spans="1:26" x14ac:dyDescent="0.15">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spans="1:26" x14ac:dyDescent="0.15">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spans="1:26" x14ac:dyDescent="0.15">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spans="1:26" x14ac:dyDescent="0.15">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spans="1:26" x14ac:dyDescent="0.15">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spans="1:26" x14ac:dyDescent="0.15">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spans="1:26" x14ac:dyDescent="0.15">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spans="1:26" x14ac:dyDescent="0.15">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spans="1:26" x14ac:dyDescent="0.15">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spans="1:26" x14ac:dyDescent="0.15">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spans="1:26" x14ac:dyDescent="0.15">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spans="1:26" x14ac:dyDescent="0.15">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spans="1:26" x14ac:dyDescent="0.15">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spans="1:26" x14ac:dyDescent="0.15">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spans="1:26" x14ac:dyDescent="0.15">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spans="1:26" x14ac:dyDescent="0.15">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spans="1:26" x14ac:dyDescent="0.15">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spans="1:26" x14ac:dyDescent="0.15">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spans="1:26" x14ac:dyDescent="0.15">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spans="1:26" x14ac:dyDescent="0.15">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spans="1:26" x14ac:dyDescent="0.15">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spans="1:26" x14ac:dyDescent="0.15">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spans="1:26" x14ac:dyDescent="0.15">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spans="1:26" x14ac:dyDescent="0.15">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spans="1:26" x14ac:dyDescent="0.15">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spans="1:26" x14ac:dyDescent="0.15">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spans="1:26" x14ac:dyDescent="0.15">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spans="1:26" x14ac:dyDescent="0.15">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spans="1:26" x14ac:dyDescent="0.15">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spans="1:26" x14ac:dyDescent="0.15">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spans="1:26" x14ac:dyDescent="0.15">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spans="1:26" x14ac:dyDescent="0.15">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spans="1:26" x14ac:dyDescent="0.15">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spans="1:26" x14ac:dyDescent="0.15">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spans="1:26" x14ac:dyDescent="0.15">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spans="1:26" x14ac:dyDescent="0.15">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spans="1:26" x14ac:dyDescent="0.15">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spans="1:26" x14ac:dyDescent="0.15">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spans="1:26" x14ac:dyDescent="0.15">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spans="1:26" x14ac:dyDescent="0.15">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spans="1:26" x14ac:dyDescent="0.15">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spans="1:26" x14ac:dyDescent="0.15">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spans="1:26" x14ac:dyDescent="0.15">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spans="1:26" x14ac:dyDescent="0.15">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spans="1:26" x14ac:dyDescent="0.15">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spans="1:26" x14ac:dyDescent="0.15">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spans="1:26" x14ac:dyDescent="0.15">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spans="1:26" x14ac:dyDescent="0.15">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spans="1:26" x14ac:dyDescent="0.15">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spans="1:26" x14ac:dyDescent="0.15">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spans="1:26" x14ac:dyDescent="0.15">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spans="1:26" x14ac:dyDescent="0.15">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spans="1:26" x14ac:dyDescent="0.15">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spans="1:26" x14ac:dyDescent="0.15">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spans="1:26" x14ac:dyDescent="0.15">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spans="1:26" x14ac:dyDescent="0.15">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spans="1:26" x14ac:dyDescent="0.15">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spans="1:26" x14ac:dyDescent="0.15">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spans="1:26" x14ac:dyDescent="0.15">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spans="1:26" x14ac:dyDescent="0.15">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spans="1:26" x14ac:dyDescent="0.15">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spans="1:26" x14ac:dyDescent="0.15">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spans="1:26" x14ac:dyDescent="0.15">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spans="1:26" x14ac:dyDescent="0.15">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spans="1:26" x14ac:dyDescent="0.15">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spans="1:26" x14ac:dyDescent="0.15">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spans="1:26" x14ac:dyDescent="0.15">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spans="1:26" x14ac:dyDescent="0.15">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spans="1:26" x14ac:dyDescent="0.15">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spans="1:26" x14ac:dyDescent="0.15">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spans="1:26" x14ac:dyDescent="0.15">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spans="1:26" x14ac:dyDescent="0.15">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spans="1:26" x14ac:dyDescent="0.15">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spans="1:26" x14ac:dyDescent="0.15">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spans="1:26" x14ac:dyDescent="0.15">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spans="1:26" x14ac:dyDescent="0.15">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spans="1:26" x14ac:dyDescent="0.15">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spans="1:26" x14ac:dyDescent="0.15">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spans="1:26" x14ac:dyDescent="0.15">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spans="1:26" x14ac:dyDescent="0.15">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spans="1:26" x14ac:dyDescent="0.15">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spans="1:26" x14ac:dyDescent="0.15">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spans="1:26" x14ac:dyDescent="0.15">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spans="1:26" x14ac:dyDescent="0.15">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spans="1:26" x14ac:dyDescent="0.15">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spans="1:26" x14ac:dyDescent="0.15">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spans="1:26" x14ac:dyDescent="0.15">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spans="1:26" x14ac:dyDescent="0.15">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spans="1:26" x14ac:dyDescent="0.15">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spans="1:26" x14ac:dyDescent="0.15">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spans="1:26" x14ac:dyDescent="0.15">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spans="1:26" x14ac:dyDescent="0.15">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spans="1:26" x14ac:dyDescent="0.15">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spans="1:26" x14ac:dyDescent="0.15">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spans="1:26" x14ac:dyDescent="0.15">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spans="1:26" x14ac:dyDescent="0.15">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spans="1:26" x14ac:dyDescent="0.15">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spans="1:26" x14ac:dyDescent="0.15">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spans="1:26" x14ac:dyDescent="0.15">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spans="1:26" x14ac:dyDescent="0.15">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spans="1:26" x14ac:dyDescent="0.15">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spans="1:26" x14ac:dyDescent="0.15">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spans="1:26" x14ac:dyDescent="0.15">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spans="1:26" x14ac:dyDescent="0.15">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spans="1:26" x14ac:dyDescent="0.15">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spans="1:26" x14ac:dyDescent="0.15">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spans="1:26" x14ac:dyDescent="0.15">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spans="1:26" x14ac:dyDescent="0.15">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spans="1:26" x14ac:dyDescent="0.15">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spans="1:26" x14ac:dyDescent="0.15">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spans="1:26" x14ac:dyDescent="0.15">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spans="1:26" x14ac:dyDescent="0.15">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spans="1:26" x14ac:dyDescent="0.15">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spans="1:26" x14ac:dyDescent="0.15">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spans="1:26" x14ac:dyDescent="0.15">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spans="1:26" x14ac:dyDescent="0.15">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spans="1:26" x14ac:dyDescent="0.15">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spans="1:26" x14ac:dyDescent="0.15">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spans="1:26" x14ac:dyDescent="0.15">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spans="1:26" x14ac:dyDescent="0.15">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spans="1:26" x14ac:dyDescent="0.15">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spans="1:26" x14ac:dyDescent="0.15">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spans="1:26" x14ac:dyDescent="0.15">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spans="1:26" x14ac:dyDescent="0.15">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spans="1:26" x14ac:dyDescent="0.15">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spans="1:26" x14ac:dyDescent="0.15">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spans="1:26" x14ac:dyDescent="0.15">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spans="1:26" x14ac:dyDescent="0.15">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spans="1:26" x14ac:dyDescent="0.15">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spans="1:26" x14ac:dyDescent="0.15">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spans="1:26" x14ac:dyDescent="0.15">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spans="1:26" x14ac:dyDescent="0.15">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spans="1:26" x14ac:dyDescent="0.15">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spans="1:26" x14ac:dyDescent="0.15">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spans="1:26" x14ac:dyDescent="0.15">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spans="1:26" x14ac:dyDescent="0.15">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spans="1:26" x14ac:dyDescent="0.15">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spans="1:26" x14ac:dyDescent="0.15">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spans="1:26" x14ac:dyDescent="0.15">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spans="1:26" x14ac:dyDescent="0.15">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spans="1:26" x14ac:dyDescent="0.15">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spans="1:26" x14ac:dyDescent="0.15">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spans="1:26" x14ac:dyDescent="0.15">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spans="1:26" x14ac:dyDescent="0.15">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spans="1:26" x14ac:dyDescent="0.15">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spans="1:26" x14ac:dyDescent="0.15">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spans="1:26" x14ac:dyDescent="0.15">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spans="1:26" x14ac:dyDescent="0.15">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spans="1:26" x14ac:dyDescent="0.15">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spans="1:26" x14ac:dyDescent="0.15">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spans="1:26" x14ac:dyDescent="0.15">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spans="1:26" x14ac:dyDescent="0.15">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spans="1:26" x14ac:dyDescent="0.15">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spans="1:26" x14ac:dyDescent="0.15">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spans="1:26" x14ac:dyDescent="0.15">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spans="1:26" x14ac:dyDescent="0.15">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spans="1:26" x14ac:dyDescent="0.15">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spans="1:26" x14ac:dyDescent="0.15">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spans="1:26" x14ac:dyDescent="0.15">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spans="1:26" x14ac:dyDescent="0.15">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spans="1:26" x14ac:dyDescent="0.15">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spans="1:26" x14ac:dyDescent="0.15">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spans="1:26" x14ac:dyDescent="0.15">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spans="1:26" x14ac:dyDescent="0.15">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spans="1:26" x14ac:dyDescent="0.15">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spans="1:26" x14ac:dyDescent="0.15">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spans="1:26" x14ac:dyDescent="0.15">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spans="1:26" x14ac:dyDescent="0.15">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spans="1:26" x14ac:dyDescent="0.15">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spans="1:26" x14ac:dyDescent="0.15">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spans="1:26" x14ac:dyDescent="0.15">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spans="1:26" x14ac:dyDescent="0.15">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spans="1:26" x14ac:dyDescent="0.15">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spans="1:26" x14ac:dyDescent="0.15">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spans="1:26" x14ac:dyDescent="0.15">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spans="1:26" x14ac:dyDescent="0.15">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spans="1:26" x14ac:dyDescent="0.15">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spans="1:26" x14ac:dyDescent="0.15">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spans="1:26" x14ac:dyDescent="0.15">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spans="1:26" x14ac:dyDescent="0.15">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spans="1:26" x14ac:dyDescent="0.15">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spans="1:26" x14ac:dyDescent="0.15">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spans="1:26" x14ac:dyDescent="0.15">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spans="1:26" x14ac:dyDescent="0.15">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spans="1:26" x14ac:dyDescent="0.15">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spans="1:26" x14ac:dyDescent="0.15">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spans="1:26" x14ac:dyDescent="0.15">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spans="1:26" x14ac:dyDescent="0.15">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spans="1:26" x14ac:dyDescent="0.15">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spans="1:26" x14ac:dyDescent="0.15">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spans="1:26" x14ac:dyDescent="0.15">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spans="1:26" x14ac:dyDescent="0.15">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spans="1:26" x14ac:dyDescent="0.15">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spans="1:26" x14ac:dyDescent="0.15">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spans="1:26" x14ac:dyDescent="0.15">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spans="1:26" x14ac:dyDescent="0.15">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sheetProtection algorithmName="SHA-512" hashValue="e4f5QbhdYwmttFp//a3gLdZB7rdVWkAuUM6lVGifZmH+aSWVL/4cEKrNrgK9IKgvdsjbRBKwH8U7Y+g7YADJzQ==" saltValue="YE/xmZy5Ko+hfTok9ETzIw==" spinCount="100000" sheet="1" objects="1" scenarios="1"/>
  <mergeCells count="9">
    <mergeCell ref="C3:E3"/>
    <mergeCell ref="E8:E10"/>
    <mergeCell ref="E13:E15"/>
    <mergeCell ref="E19:E21"/>
    <mergeCell ref="E24:E26"/>
    <mergeCell ref="C8:C10"/>
    <mergeCell ref="C13:C15"/>
    <mergeCell ref="C19:C21"/>
    <mergeCell ref="C24:C26"/>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dimension ref="B1:B161"/>
  <sheetViews>
    <sheetView view="pageBreakPreview" topLeftCell="A136" zoomScale="90" zoomScaleNormal="80" zoomScaleSheetLayoutView="90" zoomScalePageLayoutView="80" workbookViewId="0">
      <selection activeCell="B18" sqref="B18"/>
    </sheetView>
  </sheetViews>
  <sheetFormatPr defaultColWidth="8.75" defaultRowHeight="11.25" x14ac:dyDescent="0.15"/>
  <cols>
    <col min="1" max="1" width="8.75" style="323"/>
    <col min="2" max="2" width="172.75" style="323" customWidth="1"/>
    <col min="3" max="16384" width="8.75" style="323"/>
  </cols>
  <sheetData>
    <row r="1" spans="2:2" ht="15.75" x14ac:dyDescent="0.15">
      <c r="B1" s="324" t="s">
        <v>28</v>
      </c>
    </row>
    <row r="2" spans="2:2" ht="23.25" x14ac:dyDescent="0.15">
      <c r="B2" s="325" t="s">
        <v>29</v>
      </c>
    </row>
    <row r="3" spans="2:2" ht="14.25" x14ac:dyDescent="0.15">
      <c r="B3" s="326"/>
    </row>
    <row r="4" spans="2:2" ht="15.75" x14ac:dyDescent="0.15">
      <c r="B4" s="324" t="s">
        <v>30</v>
      </c>
    </row>
    <row r="5" spans="2:2" ht="32.25" customHeight="1" x14ac:dyDescent="0.15">
      <c r="B5" s="326" t="s">
        <v>31</v>
      </c>
    </row>
    <row r="6" spans="2:2" ht="14.25" x14ac:dyDescent="0.15">
      <c r="B6" s="326"/>
    </row>
    <row r="7" spans="2:2" ht="47.25" x14ac:dyDescent="0.15">
      <c r="B7" s="326" t="s">
        <v>32</v>
      </c>
    </row>
    <row r="8" spans="2:2" ht="14.25" x14ac:dyDescent="0.15">
      <c r="B8" s="326"/>
    </row>
    <row r="9" spans="2:2" ht="28.5" x14ac:dyDescent="0.15">
      <c r="B9" s="326" t="s">
        <v>33</v>
      </c>
    </row>
    <row r="10" spans="2:2" ht="14.25" x14ac:dyDescent="0.15">
      <c r="B10" s="326"/>
    </row>
    <row r="11" spans="2:2" ht="14.25" x14ac:dyDescent="0.15">
      <c r="B11" s="326" t="s">
        <v>34</v>
      </c>
    </row>
    <row r="12" spans="2:2" ht="14.25" x14ac:dyDescent="0.15">
      <c r="B12" s="326"/>
    </row>
    <row r="13" spans="2:2" ht="28.5" x14ac:dyDescent="0.15">
      <c r="B13" s="326" t="s">
        <v>35</v>
      </c>
    </row>
    <row r="14" spans="2:2" ht="18.75" x14ac:dyDescent="0.15">
      <c r="B14" s="326" t="s">
        <v>36</v>
      </c>
    </row>
    <row r="15" spans="2:2" ht="33" x14ac:dyDescent="0.15">
      <c r="B15" s="326" t="s">
        <v>37</v>
      </c>
    </row>
    <row r="16" spans="2:2" ht="14.25" x14ac:dyDescent="0.15">
      <c r="B16" s="326"/>
    </row>
    <row r="17" spans="2:2" ht="14.25" x14ac:dyDescent="0.15">
      <c r="B17" s="326" t="s">
        <v>38</v>
      </c>
    </row>
    <row r="19" spans="2:2" ht="14.25" x14ac:dyDescent="0.15">
      <c r="B19" s="326"/>
    </row>
    <row r="20" spans="2:2" ht="15.75" x14ac:dyDescent="0.15">
      <c r="B20" s="324" t="s">
        <v>39</v>
      </c>
    </row>
    <row r="21" spans="2:2" ht="14.25" x14ac:dyDescent="0.15">
      <c r="B21" s="326" t="s">
        <v>40</v>
      </c>
    </row>
    <row r="22" spans="2:2" ht="14.25" x14ac:dyDescent="0.15">
      <c r="B22" s="326"/>
    </row>
    <row r="23" spans="2:2" ht="15.75" x14ac:dyDescent="0.15">
      <c r="B23" s="324" t="s">
        <v>41</v>
      </c>
    </row>
    <row r="24" spans="2:2" ht="14.25" x14ac:dyDescent="0.15">
      <c r="B24" s="326" t="s">
        <v>42</v>
      </c>
    </row>
    <row r="25" spans="2:2" ht="14.25" x14ac:dyDescent="0.15">
      <c r="B25" s="326"/>
    </row>
    <row r="26" spans="2:2" ht="42.75" x14ac:dyDescent="0.15">
      <c r="B26" s="326" t="s">
        <v>43</v>
      </c>
    </row>
    <row r="27" spans="2:2" ht="14.25" x14ac:dyDescent="0.15">
      <c r="B27" s="326"/>
    </row>
    <row r="28" spans="2:2" ht="14.25" x14ac:dyDescent="0.15">
      <c r="B28" s="326" t="s">
        <v>44</v>
      </c>
    </row>
    <row r="29" spans="2:2" ht="14.25" x14ac:dyDescent="0.15">
      <c r="B29" s="326"/>
    </row>
    <row r="30" spans="2:2" ht="14.25" x14ac:dyDescent="0.15">
      <c r="B30" s="326" t="s">
        <v>45</v>
      </c>
    </row>
    <row r="31" spans="2:2" ht="14.25" x14ac:dyDescent="0.15">
      <c r="B31" s="326"/>
    </row>
    <row r="32" spans="2:2" ht="28.5" x14ac:dyDescent="0.15">
      <c r="B32" s="326" t="s">
        <v>46</v>
      </c>
    </row>
    <row r="33" spans="2:2" ht="14.25" x14ac:dyDescent="0.15">
      <c r="B33" s="326"/>
    </row>
    <row r="34" spans="2:2" ht="42.75" x14ac:dyDescent="0.15">
      <c r="B34" s="326" t="s">
        <v>47</v>
      </c>
    </row>
    <row r="36" spans="2:2" ht="14.25" x14ac:dyDescent="0.15">
      <c r="B36" s="326"/>
    </row>
    <row r="37" spans="2:2" ht="15.75" x14ac:dyDescent="0.15">
      <c r="B37" s="324" t="s">
        <v>48</v>
      </c>
    </row>
    <row r="38" spans="2:2" ht="14.25" x14ac:dyDescent="0.15">
      <c r="B38" s="326" t="s">
        <v>49</v>
      </c>
    </row>
    <row r="39" spans="2:2" ht="14.25" x14ac:dyDescent="0.15">
      <c r="B39" s="327" t="s">
        <v>50</v>
      </c>
    </row>
    <row r="40" spans="2:2" ht="14.25" x14ac:dyDescent="0.15">
      <c r="B40" s="327" t="s">
        <v>51</v>
      </c>
    </row>
    <row r="41" spans="2:2" ht="14.25" x14ac:dyDescent="0.15">
      <c r="B41" s="327" t="s">
        <v>52</v>
      </c>
    </row>
    <row r="42" spans="2:2" ht="14.25" x14ac:dyDescent="0.15">
      <c r="B42" s="328" t="s">
        <v>53</v>
      </c>
    </row>
    <row r="43" spans="2:2" ht="14.25" x14ac:dyDescent="0.15">
      <c r="B43" s="326"/>
    </row>
    <row r="44" spans="2:2" ht="47.25" x14ac:dyDescent="0.15">
      <c r="B44" s="326" t="s">
        <v>54</v>
      </c>
    </row>
    <row r="45" spans="2:2" ht="14.25" x14ac:dyDescent="0.15">
      <c r="B45" s="326"/>
    </row>
    <row r="46" spans="2:2" ht="15" x14ac:dyDescent="0.15">
      <c r="B46" s="329" t="s">
        <v>55</v>
      </c>
    </row>
    <row r="47" spans="2:2" ht="28.5" x14ac:dyDescent="0.15">
      <c r="B47" s="326" t="s">
        <v>56</v>
      </c>
    </row>
    <row r="48" spans="2:2" ht="14.25" x14ac:dyDescent="0.15">
      <c r="B48" s="326"/>
    </row>
    <row r="49" spans="2:2" ht="14.25" x14ac:dyDescent="0.15">
      <c r="B49" s="326" t="s">
        <v>57</v>
      </c>
    </row>
    <row r="50" spans="2:2" ht="14.25" x14ac:dyDescent="0.15">
      <c r="B50" s="326"/>
    </row>
    <row r="51" spans="2:2" ht="14.25" x14ac:dyDescent="0.15">
      <c r="B51" s="326" t="s">
        <v>58</v>
      </c>
    </row>
    <row r="52" spans="2:2" ht="14.25" x14ac:dyDescent="0.15">
      <c r="B52" s="326"/>
    </row>
    <row r="53" spans="2:2" ht="15" x14ac:dyDescent="0.15">
      <c r="B53" s="329" t="s">
        <v>59</v>
      </c>
    </row>
    <row r="54" spans="2:2" ht="28.5" x14ac:dyDescent="0.15">
      <c r="B54" s="326" t="s">
        <v>60</v>
      </c>
    </row>
    <row r="55" spans="2:2" ht="14.25" x14ac:dyDescent="0.15">
      <c r="B55" s="326"/>
    </row>
    <row r="56" spans="2:2" ht="28.5" x14ac:dyDescent="0.15">
      <c r="B56" s="326" t="s">
        <v>61</v>
      </c>
    </row>
    <row r="57" spans="2:2" ht="14.25" x14ac:dyDescent="0.15">
      <c r="B57" s="326"/>
    </row>
    <row r="58" spans="2:2" ht="14.25" x14ac:dyDescent="0.15">
      <c r="B58" s="326" t="s">
        <v>62</v>
      </c>
    </row>
    <row r="59" spans="2:2" ht="14.25" x14ac:dyDescent="0.15">
      <c r="B59" s="326"/>
    </row>
    <row r="60" spans="2:2" ht="15" x14ac:dyDescent="0.15">
      <c r="B60" s="329" t="s">
        <v>63</v>
      </c>
    </row>
    <row r="61" spans="2:2" ht="14.25" x14ac:dyDescent="0.15">
      <c r="B61" s="326" t="s">
        <v>64</v>
      </c>
    </row>
    <row r="62" spans="2:2" ht="15" x14ac:dyDescent="0.15">
      <c r="B62" s="330" t="s">
        <v>65</v>
      </c>
    </row>
    <row r="63" spans="2:2" ht="15" x14ac:dyDescent="0.15">
      <c r="B63" s="330" t="s">
        <v>66</v>
      </c>
    </row>
    <row r="64" spans="2:2" ht="15" x14ac:dyDescent="0.15">
      <c r="B64" s="330" t="s">
        <v>67</v>
      </c>
    </row>
    <row r="65" spans="2:2" ht="14.25" x14ac:dyDescent="0.15">
      <c r="B65" s="326"/>
    </row>
    <row r="66" spans="2:2" ht="14.25" x14ac:dyDescent="0.15">
      <c r="B66" s="326" t="s">
        <v>68</v>
      </c>
    </row>
    <row r="67" spans="2:2" ht="14.25" x14ac:dyDescent="0.15">
      <c r="B67" s="326"/>
    </row>
    <row r="68" spans="2:2" ht="14.25" x14ac:dyDescent="0.15">
      <c r="B68" s="326" t="s">
        <v>69</v>
      </c>
    </row>
    <row r="69" spans="2:2" ht="15" x14ac:dyDescent="0.15">
      <c r="B69" s="330" t="s">
        <v>70</v>
      </c>
    </row>
    <row r="70" spans="2:2" ht="15" x14ac:dyDescent="0.15">
      <c r="B70" s="330" t="s">
        <v>71</v>
      </c>
    </row>
    <row r="71" spans="2:2" ht="15" x14ac:dyDescent="0.15">
      <c r="B71" s="330" t="s">
        <v>72</v>
      </c>
    </row>
    <row r="72" spans="2:2" ht="15" x14ac:dyDescent="0.15">
      <c r="B72" s="330" t="s">
        <v>73</v>
      </c>
    </row>
    <row r="73" spans="2:2" ht="15.75" x14ac:dyDescent="0.15">
      <c r="B73" s="331"/>
    </row>
    <row r="74" spans="2:2" ht="15.75" x14ac:dyDescent="0.15">
      <c r="B74" s="331" t="s">
        <v>74</v>
      </c>
    </row>
    <row r="75" spans="2:2" ht="15" x14ac:dyDescent="0.15">
      <c r="B75" s="332" t="s">
        <v>75</v>
      </c>
    </row>
    <row r="76" spans="2:2" ht="15" x14ac:dyDescent="0.15">
      <c r="B76" s="332"/>
    </row>
    <row r="77" spans="2:2" ht="15" x14ac:dyDescent="0.15">
      <c r="B77" s="332" t="s">
        <v>76</v>
      </c>
    </row>
    <row r="78" spans="2:2" ht="15" x14ac:dyDescent="0.15">
      <c r="B78" s="332"/>
    </row>
    <row r="79" spans="2:2" ht="15.75" x14ac:dyDescent="0.15">
      <c r="B79" s="324" t="s">
        <v>77</v>
      </c>
    </row>
    <row r="80" spans="2:2" ht="14.25" x14ac:dyDescent="0.15">
      <c r="B80" s="326" t="s">
        <v>78</v>
      </c>
    </row>
    <row r="81" spans="2:2" ht="14.25" x14ac:dyDescent="0.15">
      <c r="B81" s="326"/>
    </row>
    <row r="82" spans="2:2" ht="28.5" x14ac:dyDescent="0.15">
      <c r="B82" s="326" t="s">
        <v>79</v>
      </c>
    </row>
    <row r="83" spans="2:2" ht="14.25" x14ac:dyDescent="0.15">
      <c r="B83" s="326"/>
    </row>
    <row r="84" spans="2:2" ht="14.25" x14ac:dyDescent="0.15">
      <c r="B84" s="326" t="s">
        <v>80</v>
      </c>
    </row>
    <row r="85" spans="2:2" ht="14.25" x14ac:dyDescent="0.15">
      <c r="B85" s="326"/>
    </row>
    <row r="86" spans="2:2" ht="14.25" x14ac:dyDescent="0.15">
      <c r="B86" s="326" t="s">
        <v>81</v>
      </c>
    </row>
    <row r="87" spans="2:2" ht="15" x14ac:dyDescent="0.15">
      <c r="B87" s="330" t="s">
        <v>82</v>
      </c>
    </row>
    <row r="88" spans="2:2" ht="15" x14ac:dyDescent="0.15">
      <c r="B88" s="330" t="s">
        <v>83</v>
      </c>
    </row>
    <row r="89" spans="2:2" ht="14.25" x14ac:dyDescent="0.15">
      <c r="B89" s="326" t="s">
        <v>84</v>
      </c>
    </row>
    <row r="90" spans="2:2" ht="14.25" x14ac:dyDescent="0.15">
      <c r="B90" s="326"/>
    </row>
    <row r="91" spans="2:2" ht="14.25" x14ac:dyDescent="0.15">
      <c r="B91" s="326" t="s">
        <v>85</v>
      </c>
    </row>
    <row r="92" spans="2:2" ht="14.25" x14ac:dyDescent="0.15">
      <c r="B92" s="326"/>
    </row>
    <row r="93" spans="2:2" ht="15" x14ac:dyDescent="0.15">
      <c r="B93" s="329" t="s">
        <v>86</v>
      </c>
    </row>
    <row r="94" spans="2:2" ht="28.5" x14ac:dyDescent="0.15">
      <c r="B94" s="326" t="s">
        <v>87</v>
      </c>
    </row>
    <row r="95" spans="2:2" ht="14.25" x14ac:dyDescent="0.15">
      <c r="B95" s="326"/>
    </row>
    <row r="96" spans="2:2" ht="14.25" x14ac:dyDescent="0.15">
      <c r="B96" s="326" t="s">
        <v>88</v>
      </c>
    </row>
    <row r="97" spans="2:2" ht="14.25" x14ac:dyDescent="0.15">
      <c r="B97" s="326"/>
    </row>
    <row r="98" spans="2:2" ht="14.25" x14ac:dyDescent="0.15">
      <c r="B98" s="326" t="s">
        <v>89</v>
      </c>
    </row>
    <row r="99" spans="2:2" ht="14.25" x14ac:dyDescent="0.15">
      <c r="B99" s="326"/>
    </row>
    <row r="100" spans="2:2" ht="15" x14ac:dyDescent="0.15">
      <c r="B100" s="329" t="s">
        <v>90</v>
      </c>
    </row>
    <row r="101" spans="2:2" ht="28.5" x14ac:dyDescent="0.15">
      <c r="B101" s="326" t="s">
        <v>91</v>
      </c>
    </row>
    <row r="102" spans="2:2" ht="14.25" x14ac:dyDescent="0.15">
      <c r="B102" s="326"/>
    </row>
    <row r="103" spans="2:2" ht="14.25" x14ac:dyDescent="0.15">
      <c r="B103" s="326" t="s">
        <v>92</v>
      </c>
    </row>
    <row r="104" spans="2:2" ht="14.25" x14ac:dyDescent="0.15">
      <c r="B104" s="326"/>
    </row>
    <row r="105" spans="2:2" ht="14.25" x14ac:dyDescent="0.15">
      <c r="B105" s="326" t="s">
        <v>93</v>
      </c>
    </row>
    <row r="107" spans="2:2" ht="14.25" x14ac:dyDescent="0.15">
      <c r="B107" s="326"/>
    </row>
    <row r="108" spans="2:2" ht="14.25" x14ac:dyDescent="0.15">
      <c r="B108" s="326"/>
    </row>
    <row r="109" spans="2:2" ht="15.75" x14ac:dyDescent="0.15">
      <c r="B109" s="324" t="s">
        <v>94</v>
      </c>
    </row>
    <row r="110" spans="2:2" ht="28.5" x14ac:dyDescent="0.15">
      <c r="B110" s="326" t="s">
        <v>95</v>
      </c>
    </row>
    <row r="111" spans="2:2" ht="14.25" x14ac:dyDescent="0.15">
      <c r="B111" s="326"/>
    </row>
    <row r="112" spans="2:2" ht="28.5" x14ac:dyDescent="0.15">
      <c r="B112" s="326" t="s">
        <v>96</v>
      </c>
    </row>
    <row r="113" spans="2:2" ht="14.25" x14ac:dyDescent="0.15">
      <c r="B113" s="326"/>
    </row>
    <row r="114" spans="2:2" ht="14.25" x14ac:dyDescent="0.15">
      <c r="B114" s="326" t="s">
        <v>97</v>
      </c>
    </row>
    <row r="115" spans="2:2" ht="15" x14ac:dyDescent="0.15">
      <c r="B115" s="330" t="s">
        <v>98</v>
      </c>
    </row>
    <row r="116" spans="2:2" ht="15" x14ac:dyDescent="0.15">
      <c r="B116" s="330" t="s">
        <v>99</v>
      </c>
    </row>
    <row r="117" spans="2:2" ht="15" x14ac:dyDescent="0.15">
      <c r="B117" s="330" t="s">
        <v>100</v>
      </c>
    </row>
    <row r="118" spans="2:2" ht="14.25" x14ac:dyDescent="0.15">
      <c r="B118" s="326"/>
    </row>
    <row r="119" spans="2:2" ht="14.25" x14ac:dyDescent="0.15">
      <c r="B119" s="326" t="s">
        <v>101</v>
      </c>
    </row>
    <row r="120" spans="2:2" ht="14.25" x14ac:dyDescent="0.15">
      <c r="B120" s="326"/>
    </row>
    <row r="121" spans="2:2" ht="15.75" x14ac:dyDescent="0.15">
      <c r="B121" s="324" t="s">
        <v>102</v>
      </c>
    </row>
    <row r="122" spans="2:2" ht="47.25" x14ac:dyDescent="0.15">
      <c r="B122" s="326" t="s">
        <v>103</v>
      </c>
    </row>
    <row r="123" spans="2:2" ht="14.25" x14ac:dyDescent="0.15">
      <c r="B123" s="326"/>
    </row>
    <row r="124" spans="2:2" ht="33" x14ac:dyDescent="0.15">
      <c r="B124" s="326" t="s">
        <v>104</v>
      </c>
    </row>
    <row r="125" spans="2:2" ht="14.25" x14ac:dyDescent="0.15">
      <c r="B125" s="326" t="s">
        <v>105</v>
      </c>
    </row>
    <row r="127" spans="2:2" ht="14.25" x14ac:dyDescent="0.15">
      <c r="B127" s="326"/>
    </row>
    <row r="128" spans="2:2" ht="14.25" x14ac:dyDescent="0.15">
      <c r="B128" s="326"/>
    </row>
    <row r="129" spans="2:2" ht="15.75" x14ac:dyDescent="0.15">
      <c r="B129" s="324" t="s">
        <v>106</v>
      </c>
    </row>
    <row r="130" spans="2:2" ht="33" x14ac:dyDescent="0.15">
      <c r="B130" s="326" t="s">
        <v>107</v>
      </c>
    </row>
    <row r="131" spans="2:2" ht="28.5" x14ac:dyDescent="0.15">
      <c r="B131" s="326" t="s">
        <v>108</v>
      </c>
    </row>
    <row r="132" spans="2:2" ht="14.25" x14ac:dyDescent="0.15">
      <c r="B132" s="326"/>
    </row>
    <row r="133" spans="2:2" ht="15.75" x14ac:dyDescent="0.15">
      <c r="B133" s="324" t="s">
        <v>109</v>
      </c>
    </row>
    <row r="134" spans="2:2" ht="42.75" x14ac:dyDescent="0.15">
      <c r="B134" s="326" t="s">
        <v>110</v>
      </c>
    </row>
    <row r="136" spans="2:2" ht="15.75" x14ac:dyDescent="0.15">
      <c r="B136" s="324" t="s">
        <v>111</v>
      </c>
    </row>
    <row r="137" spans="2:2" ht="14.25" x14ac:dyDescent="0.15">
      <c r="B137" s="326" t="s">
        <v>112</v>
      </c>
    </row>
    <row r="138" spans="2:2" ht="14.25" x14ac:dyDescent="0.15">
      <c r="B138" s="326"/>
    </row>
    <row r="139" spans="2:2" ht="14.25" x14ac:dyDescent="0.15">
      <c r="B139" s="326" t="s">
        <v>113</v>
      </c>
    </row>
    <row r="140" spans="2:2" ht="15" x14ac:dyDescent="0.15">
      <c r="B140" s="330" t="s">
        <v>114</v>
      </c>
    </row>
    <row r="141" spans="2:2" ht="18.75" x14ac:dyDescent="0.15">
      <c r="B141" s="330" t="s">
        <v>115</v>
      </c>
    </row>
    <row r="142" spans="2:2" ht="18.75" x14ac:dyDescent="0.15">
      <c r="B142" s="330" t="s">
        <v>116</v>
      </c>
    </row>
    <row r="143" spans="2:2" ht="18.75" x14ac:dyDescent="0.15">
      <c r="B143" s="330" t="s">
        <v>117</v>
      </c>
    </row>
    <row r="144" spans="2:2" ht="18.75" x14ac:dyDescent="0.15">
      <c r="B144" s="330" t="s">
        <v>118</v>
      </c>
    </row>
    <row r="145" spans="2:2" ht="18.75" x14ac:dyDescent="0.15">
      <c r="B145" s="330" t="s">
        <v>119</v>
      </c>
    </row>
    <row r="146" spans="2:2" ht="15" x14ac:dyDescent="0.15">
      <c r="B146" s="330" t="s">
        <v>120</v>
      </c>
    </row>
    <row r="147" spans="2:2" ht="15" x14ac:dyDescent="0.15">
      <c r="B147" s="330" t="s">
        <v>121</v>
      </c>
    </row>
    <row r="148" spans="2:2" ht="15" x14ac:dyDescent="0.15">
      <c r="B148" s="330" t="s">
        <v>122</v>
      </c>
    </row>
    <row r="149" spans="2:2" ht="15" x14ac:dyDescent="0.15">
      <c r="B149" s="330" t="s">
        <v>123</v>
      </c>
    </row>
    <row r="150" spans="2:2" ht="15" x14ac:dyDescent="0.15">
      <c r="B150" s="330" t="s">
        <v>124</v>
      </c>
    </row>
    <row r="151" spans="2:2" ht="18.75" x14ac:dyDescent="0.15">
      <c r="B151" s="330" t="s">
        <v>125</v>
      </c>
    </row>
    <row r="152" spans="2:2" ht="18.75" x14ac:dyDescent="0.15">
      <c r="B152" s="330" t="s">
        <v>126</v>
      </c>
    </row>
    <row r="153" spans="2:2" ht="18.75" x14ac:dyDescent="0.15">
      <c r="B153" s="330" t="s">
        <v>127</v>
      </c>
    </row>
    <row r="154" spans="2:2" ht="15" x14ac:dyDescent="0.15">
      <c r="B154" s="330" t="s">
        <v>128</v>
      </c>
    </row>
    <row r="155" spans="2:2" ht="15" x14ac:dyDescent="0.15">
      <c r="B155" s="330" t="s">
        <v>129</v>
      </c>
    </row>
    <row r="156" spans="2:2" ht="18.75" x14ac:dyDescent="0.15">
      <c r="B156" s="330" t="s">
        <v>130</v>
      </c>
    </row>
    <row r="157" spans="2:2" x14ac:dyDescent="0.15">
      <c r="B157" s="333"/>
    </row>
    <row r="158" spans="2:2" x14ac:dyDescent="0.15">
      <c r="B158" s="333"/>
    </row>
    <row r="159" spans="2:2" x14ac:dyDescent="0.15">
      <c r="B159" s="333"/>
    </row>
    <row r="160" spans="2:2" x14ac:dyDescent="0.15">
      <c r="B160" s="333"/>
    </row>
    <row r="161" spans="2:2" x14ac:dyDescent="0.15">
      <c r="B161" s="333"/>
    </row>
  </sheetData>
  <sheetProtection selectLockedCells="1"/>
  <pageMargins left="0.7" right="0.7" top="0.75" bottom="0.75" header="0.3" footer="0.3"/>
  <pageSetup paperSize="9" scale="43"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530"/>
  <sheetViews>
    <sheetView showGridLines="0" showZeros="0" tabSelected="1" zoomScaleNormal="100" zoomScalePageLayoutView="150" workbookViewId="0">
      <selection activeCell="G21" sqref="G21:I21"/>
    </sheetView>
  </sheetViews>
  <sheetFormatPr defaultColWidth="8.75" defaultRowHeight="11.25" x14ac:dyDescent="0.15"/>
  <cols>
    <col min="1" max="1" width="1.75" customWidth="1"/>
    <col min="2" max="2" width="3.125" customWidth="1"/>
    <col min="3" max="3" width="1.75" customWidth="1"/>
    <col min="4" max="4" width="10.125" customWidth="1"/>
    <col min="5" max="5" width="12.75" customWidth="1"/>
    <col min="6" max="6" width="1.75" customWidth="1"/>
    <col min="7" max="7" width="14.875" customWidth="1"/>
    <col min="8" max="8" width="17.875" customWidth="1"/>
    <col min="9" max="9" width="28.75" customWidth="1"/>
    <col min="10" max="10" width="1.75" customWidth="1"/>
    <col min="11" max="11" width="19.75" bestFit="1" customWidth="1"/>
    <col min="12" max="12" width="1.5" customWidth="1"/>
    <col min="13" max="13" width="14.75" customWidth="1"/>
    <col min="14" max="14" width="1.5" customWidth="1"/>
    <col min="15" max="15" width="13.75" customWidth="1"/>
    <col min="16" max="16" width="1.75" customWidth="1"/>
    <col min="17" max="17" width="15" customWidth="1"/>
    <col min="18" max="18" width="1.5" customWidth="1"/>
    <col min="19" max="19" width="3" customWidth="1"/>
    <col min="20" max="20" width="1.75" customWidth="1"/>
  </cols>
  <sheetData>
    <row r="1" spans="1:31" s="4" customFormat="1" x14ac:dyDescent="0.15">
      <c r="A1" s="3"/>
      <c r="B1" s="3"/>
      <c r="C1" s="3"/>
      <c r="D1" s="3"/>
      <c r="E1" s="3"/>
      <c r="F1" s="3"/>
      <c r="G1" s="3"/>
      <c r="H1" s="3"/>
      <c r="I1" s="3"/>
      <c r="J1" s="3"/>
      <c r="K1" s="3"/>
      <c r="L1" s="3"/>
      <c r="M1" s="3"/>
      <c r="N1" s="3"/>
      <c r="O1" s="3"/>
      <c r="P1" s="3"/>
      <c r="Q1" s="3"/>
      <c r="R1" s="3"/>
      <c r="S1" s="3"/>
      <c r="T1" s="93"/>
      <c r="X1" s="92"/>
      <c r="Y1" s="92"/>
      <c r="Z1" s="92"/>
      <c r="AA1" s="92"/>
      <c r="AB1" s="92"/>
      <c r="AC1" s="92"/>
      <c r="AD1" s="92"/>
      <c r="AE1" s="92"/>
    </row>
    <row r="2" spans="1:31" ht="11.25" customHeight="1" x14ac:dyDescent="0.15">
      <c r="A2" s="3"/>
      <c r="B2" s="259"/>
      <c r="C2" s="259"/>
      <c r="D2" s="259"/>
      <c r="E2" s="259"/>
      <c r="F2" s="259"/>
      <c r="G2" s="259"/>
      <c r="H2" s="259"/>
      <c r="I2" s="259"/>
      <c r="J2" s="259"/>
      <c r="K2" s="259"/>
      <c r="L2" s="259"/>
      <c r="M2" s="259"/>
      <c r="N2" s="259"/>
      <c r="O2" s="259"/>
      <c r="P2" s="259"/>
      <c r="Q2" s="259"/>
      <c r="R2" s="259"/>
      <c r="S2" s="259"/>
      <c r="T2" s="93"/>
      <c r="U2" s="4"/>
      <c r="V2" s="4"/>
      <c r="W2" s="4"/>
      <c r="X2" s="92"/>
      <c r="Y2" s="92"/>
      <c r="Z2" s="92"/>
      <c r="AA2" s="92"/>
      <c r="AB2" s="92"/>
      <c r="AC2" s="92"/>
      <c r="AD2" s="92"/>
      <c r="AE2" s="92"/>
    </row>
    <row r="3" spans="1:31" ht="11.25" customHeight="1" x14ac:dyDescent="0.15">
      <c r="A3" s="3"/>
      <c r="B3" s="259"/>
      <c r="C3" s="259"/>
      <c r="D3" s="259"/>
      <c r="E3" s="259"/>
      <c r="F3" s="259"/>
      <c r="G3" s="259"/>
      <c r="H3" s="259"/>
      <c r="I3" s="259"/>
      <c r="J3" s="259"/>
      <c r="K3" s="259"/>
      <c r="L3" s="259"/>
      <c r="M3" s="259"/>
      <c r="N3" s="259"/>
      <c r="O3" s="259"/>
      <c r="P3" s="259"/>
      <c r="Q3" s="259"/>
      <c r="R3" s="259"/>
      <c r="S3" s="259"/>
      <c r="T3" s="93"/>
      <c r="U3" s="4"/>
      <c r="V3" s="4"/>
      <c r="W3" s="4"/>
      <c r="X3" s="92"/>
      <c r="Y3" s="92"/>
      <c r="Z3" s="92"/>
      <c r="AA3" s="92"/>
      <c r="AB3" s="92"/>
      <c r="AC3" s="92"/>
      <c r="AD3" s="92"/>
      <c r="AE3" s="92"/>
    </row>
    <row r="4" spans="1:31" ht="11.25" customHeight="1" x14ac:dyDescent="0.15">
      <c r="A4" s="3"/>
      <c r="B4" s="259"/>
      <c r="C4" s="259"/>
      <c r="D4" s="272"/>
      <c r="E4" s="259"/>
      <c r="F4" s="259"/>
      <c r="G4" s="259"/>
      <c r="H4" s="259"/>
      <c r="I4" s="259"/>
      <c r="J4" s="259"/>
      <c r="K4" s="259"/>
      <c r="L4" s="259"/>
      <c r="M4" s="259"/>
      <c r="N4" s="259"/>
      <c r="O4" s="273"/>
      <c r="P4" s="273"/>
      <c r="Q4" s="259"/>
      <c r="R4" s="259"/>
      <c r="S4" s="273"/>
      <c r="T4" s="93"/>
      <c r="U4" s="4"/>
      <c r="V4" s="4"/>
      <c r="W4" s="4"/>
      <c r="X4" s="92"/>
      <c r="Y4" s="92"/>
      <c r="Z4" s="92"/>
      <c r="AA4" s="92"/>
      <c r="AB4" s="92"/>
      <c r="AC4" s="92"/>
      <c r="AD4" s="92"/>
      <c r="AE4" s="92"/>
    </row>
    <row r="5" spans="1:31" ht="11.25" customHeight="1" x14ac:dyDescent="0.15">
      <c r="A5" s="3"/>
      <c r="B5" s="259"/>
      <c r="C5" s="259"/>
      <c r="D5" s="272"/>
      <c r="E5" s="259"/>
      <c r="F5" s="259"/>
      <c r="G5" s="259"/>
      <c r="H5" s="259"/>
      <c r="I5" s="259"/>
      <c r="J5" s="259"/>
      <c r="K5" s="259"/>
      <c r="L5" s="259"/>
      <c r="M5" s="259"/>
      <c r="N5" s="259"/>
      <c r="O5" s="273"/>
      <c r="P5" s="273"/>
      <c r="Q5" s="259"/>
      <c r="R5" s="259"/>
      <c r="S5" s="273"/>
      <c r="T5" s="93"/>
      <c r="U5" s="4"/>
      <c r="V5" s="4"/>
      <c r="W5" s="4"/>
      <c r="X5" s="92"/>
      <c r="Y5" s="92"/>
      <c r="Z5" s="92"/>
      <c r="AA5" s="92"/>
      <c r="AB5" s="92"/>
      <c r="AC5" s="92"/>
      <c r="AD5" s="92"/>
      <c r="AE5" s="92"/>
    </row>
    <row r="6" spans="1:31" ht="11.25" customHeight="1" x14ac:dyDescent="0.15">
      <c r="A6" s="3"/>
      <c r="B6" s="259"/>
      <c r="C6" s="259"/>
      <c r="D6" s="272"/>
      <c r="E6" s="259"/>
      <c r="F6" s="259"/>
      <c r="G6" s="259"/>
      <c r="H6" s="259"/>
      <c r="I6" s="259"/>
      <c r="J6" s="259"/>
      <c r="K6" s="259"/>
      <c r="L6" s="259"/>
      <c r="M6" s="259"/>
      <c r="N6" s="259"/>
      <c r="O6" s="273"/>
      <c r="P6" s="273"/>
      <c r="Q6" s="259"/>
      <c r="R6" s="259"/>
      <c r="S6" s="273"/>
      <c r="T6" s="93"/>
      <c r="U6" s="4"/>
      <c r="V6" s="4"/>
      <c r="W6" s="4"/>
      <c r="X6" s="92"/>
      <c r="Y6" s="92"/>
      <c r="Z6" s="92"/>
      <c r="AA6" s="92"/>
      <c r="AB6" s="92"/>
      <c r="AC6" s="92"/>
      <c r="AD6" s="92"/>
      <c r="AE6" s="92"/>
    </row>
    <row r="7" spans="1:31" ht="11.25" customHeight="1" x14ac:dyDescent="0.15">
      <c r="A7" s="3"/>
      <c r="B7" s="259"/>
      <c r="C7" s="259"/>
      <c r="D7" s="272"/>
      <c r="E7" s="259"/>
      <c r="F7" s="259"/>
      <c r="G7" s="259"/>
      <c r="H7" s="259"/>
      <c r="I7" s="259"/>
      <c r="J7" s="259"/>
      <c r="K7" s="259"/>
      <c r="L7" s="259"/>
      <c r="M7" s="259"/>
      <c r="N7" s="259"/>
      <c r="O7" s="273"/>
      <c r="P7" s="273"/>
      <c r="Q7" s="259"/>
      <c r="R7" s="259"/>
      <c r="S7" s="273"/>
      <c r="T7" s="93"/>
      <c r="U7" s="4"/>
      <c r="V7" s="4"/>
      <c r="W7" s="4"/>
      <c r="X7" s="92"/>
      <c r="Y7" s="92"/>
      <c r="Z7" s="92"/>
      <c r="AA7" s="92"/>
      <c r="AB7" s="92"/>
      <c r="AC7" s="92"/>
      <c r="AD7" s="92"/>
      <c r="AE7" s="92"/>
    </row>
    <row r="8" spans="1:31" ht="11.25" customHeight="1" x14ac:dyDescent="0.15">
      <c r="A8" s="3"/>
      <c r="B8" s="259"/>
      <c r="C8" s="877" t="s">
        <v>131</v>
      </c>
      <c r="D8" s="878"/>
      <c r="E8" s="878"/>
      <c r="F8" s="878"/>
      <c r="G8" s="878"/>
      <c r="H8" s="878"/>
      <c r="I8" s="878"/>
      <c r="J8" s="878"/>
      <c r="K8" s="878"/>
      <c r="L8" s="878"/>
      <c r="M8" s="878"/>
      <c r="N8" s="878"/>
      <c r="O8" s="878"/>
      <c r="P8" s="878"/>
      <c r="Q8" s="878"/>
      <c r="R8" s="879"/>
      <c r="S8" s="403"/>
      <c r="T8" s="402"/>
      <c r="U8" s="4"/>
      <c r="V8" s="4"/>
      <c r="W8" s="4"/>
      <c r="X8" s="92"/>
      <c r="Y8" s="92"/>
      <c r="Z8" s="92"/>
      <c r="AA8" s="92"/>
      <c r="AB8" s="92"/>
      <c r="AC8" s="92"/>
      <c r="AD8" s="92"/>
      <c r="AE8" s="92"/>
    </row>
    <row r="9" spans="1:31" ht="28.5" customHeight="1" x14ac:dyDescent="0.15">
      <c r="A9" s="3"/>
      <c r="B9" s="259"/>
      <c r="C9" s="880"/>
      <c r="D9" s="881"/>
      <c r="E9" s="881"/>
      <c r="F9" s="881"/>
      <c r="G9" s="881"/>
      <c r="H9" s="881"/>
      <c r="I9" s="881"/>
      <c r="J9" s="881"/>
      <c r="K9" s="881"/>
      <c r="L9" s="881"/>
      <c r="M9" s="881"/>
      <c r="N9" s="881"/>
      <c r="O9" s="881"/>
      <c r="P9" s="881"/>
      <c r="Q9" s="881"/>
      <c r="R9" s="882"/>
      <c r="S9" s="403"/>
      <c r="T9" s="402"/>
      <c r="U9" s="4"/>
      <c r="V9" s="4"/>
      <c r="W9" s="4"/>
      <c r="X9" s="92"/>
      <c r="Y9" s="92"/>
      <c r="Z9" s="92"/>
      <c r="AA9" s="92"/>
      <c r="AB9" s="92"/>
      <c r="AC9" s="92"/>
      <c r="AD9" s="92"/>
      <c r="AE9" s="92"/>
    </row>
    <row r="10" spans="1:31" ht="11.25" customHeight="1" x14ac:dyDescent="0.15">
      <c r="A10" s="3"/>
      <c r="B10" s="259"/>
      <c r="C10" s="253"/>
      <c r="D10" s="274"/>
      <c r="E10" s="253"/>
      <c r="F10" s="253"/>
      <c r="G10" s="253"/>
      <c r="H10" s="253"/>
      <c r="I10" s="253"/>
      <c r="J10" s="253"/>
      <c r="K10" s="253"/>
      <c r="L10" s="253"/>
      <c r="M10" s="253"/>
      <c r="N10" s="253"/>
      <c r="O10" s="275"/>
      <c r="P10" s="275"/>
      <c r="Q10" s="253"/>
      <c r="R10" s="253"/>
      <c r="S10" s="275"/>
      <c r="T10" s="93"/>
      <c r="U10" s="4"/>
      <c r="V10" s="4"/>
      <c r="W10" s="4"/>
      <c r="X10" s="92"/>
      <c r="Y10" s="92"/>
      <c r="Z10" s="92"/>
      <c r="AA10" s="92"/>
      <c r="AB10" s="92"/>
      <c r="AC10" s="92"/>
      <c r="AD10" s="92"/>
      <c r="AE10" s="92"/>
    </row>
    <row r="11" spans="1:31" x14ac:dyDescent="0.15">
      <c r="A11" s="3"/>
      <c r="B11" s="93"/>
      <c r="C11" s="93"/>
      <c r="D11" s="94"/>
      <c r="E11" s="93"/>
      <c r="F11" s="93"/>
      <c r="G11" s="93"/>
      <c r="H11" s="93"/>
      <c r="I11" s="93"/>
      <c r="J11" s="93"/>
      <c r="K11" s="93"/>
      <c r="L11" s="93"/>
      <c r="M11" s="93"/>
      <c r="N11" s="93"/>
      <c r="O11" s="95"/>
      <c r="P11" s="95"/>
      <c r="Q11" s="93"/>
      <c r="R11" s="93"/>
      <c r="S11" s="95"/>
      <c r="T11" s="3"/>
      <c r="U11" s="4"/>
      <c r="V11" s="4"/>
      <c r="W11" s="4"/>
      <c r="X11" s="92"/>
      <c r="Y11" s="92"/>
      <c r="Z11" s="92"/>
      <c r="AA11" s="92"/>
      <c r="AB11" s="92"/>
      <c r="AC11" s="92"/>
      <c r="AD11" s="92"/>
      <c r="AE11" s="92"/>
    </row>
    <row r="12" spans="1:31" x14ac:dyDescent="0.15">
      <c r="A12" s="3"/>
      <c r="B12" s="259"/>
      <c r="C12" s="259"/>
      <c r="D12" s="259"/>
      <c r="E12" s="259"/>
      <c r="F12" s="259"/>
      <c r="G12" s="259"/>
      <c r="H12" s="259"/>
      <c r="I12" s="259"/>
      <c r="J12" s="259"/>
      <c r="K12" s="259"/>
      <c r="L12" s="259"/>
      <c r="M12" s="259"/>
      <c r="N12" s="259"/>
      <c r="O12" s="259"/>
      <c r="P12" s="259"/>
      <c r="Q12" s="259"/>
      <c r="R12" s="259"/>
      <c r="S12" s="259"/>
      <c r="T12" s="3"/>
      <c r="U12" s="4"/>
      <c r="V12" s="4"/>
      <c r="W12" s="4"/>
      <c r="X12" s="92"/>
      <c r="Y12" s="92"/>
      <c r="Z12" s="92"/>
      <c r="AA12" s="92"/>
      <c r="AB12" s="92"/>
      <c r="AC12" s="92"/>
      <c r="AD12" s="92"/>
      <c r="AE12" s="92"/>
    </row>
    <row r="13" spans="1:31" ht="14.25" x14ac:dyDescent="0.2">
      <c r="A13" s="3"/>
      <c r="B13" s="259"/>
      <c r="C13" s="276" t="s">
        <v>132</v>
      </c>
      <c r="D13" s="259"/>
      <c r="E13" s="259"/>
      <c r="F13" s="259"/>
      <c r="G13" s="259"/>
      <c r="H13" s="259"/>
      <c r="I13" s="259"/>
      <c r="J13" s="259"/>
      <c r="K13" s="259"/>
      <c r="L13" s="259"/>
      <c r="M13" s="259"/>
      <c r="N13" s="259"/>
      <c r="O13" s="259"/>
      <c r="P13" s="259"/>
      <c r="Q13" s="259"/>
      <c r="R13" s="259"/>
      <c r="S13" s="259"/>
      <c r="T13" s="3"/>
      <c r="U13" s="4"/>
      <c r="V13" s="4"/>
      <c r="W13" s="4"/>
      <c r="X13" s="92"/>
      <c r="Y13" s="92"/>
      <c r="Z13" s="92"/>
      <c r="AA13" s="92"/>
      <c r="AB13" s="92"/>
      <c r="AC13" s="92"/>
      <c r="AD13" s="92"/>
      <c r="AE13" s="92"/>
    </row>
    <row r="14" spans="1:31" ht="11.25" customHeight="1" x14ac:dyDescent="0.15">
      <c r="A14" s="3"/>
      <c r="B14" s="259"/>
      <c r="C14" s="844" t="s">
        <v>133</v>
      </c>
      <c r="D14" s="844"/>
      <c r="E14" s="844"/>
      <c r="F14" s="844"/>
      <c r="G14" s="844"/>
      <c r="H14" s="844"/>
      <c r="I14" s="844"/>
      <c r="J14" s="844"/>
      <c r="K14" s="844"/>
      <c r="L14" s="844"/>
      <c r="M14" s="844"/>
      <c r="N14" s="844"/>
      <c r="O14" s="844"/>
      <c r="P14" s="844"/>
      <c r="Q14" s="844"/>
      <c r="R14" s="277"/>
      <c r="S14" s="277"/>
      <c r="T14" s="3"/>
      <c r="U14" s="4"/>
      <c r="V14" s="4"/>
      <c r="W14" s="4"/>
      <c r="X14" s="92"/>
      <c r="Y14" s="92"/>
      <c r="Z14" s="92"/>
      <c r="AA14" s="92"/>
      <c r="AB14" s="92"/>
      <c r="AC14" s="92"/>
      <c r="AD14" s="92"/>
      <c r="AE14" s="92"/>
    </row>
    <row r="15" spans="1:31" x14ac:dyDescent="0.15">
      <c r="A15" s="3"/>
      <c r="B15" s="259"/>
      <c r="C15" s="272"/>
      <c r="D15" s="259"/>
      <c r="E15" s="259"/>
      <c r="F15" s="259"/>
      <c r="G15" s="259"/>
      <c r="H15" s="259"/>
      <c r="I15" s="259"/>
      <c r="J15" s="259"/>
      <c r="K15" s="259"/>
      <c r="L15" s="259"/>
      <c r="M15" s="259"/>
      <c r="N15" s="259"/>
      <c r="O15" s="259"/>
      <c r="P15" s="259"/>
      <c r="Q15" s="259"/>
      <c r="R15" s="259"/>
      <c r="S15" s="259"/>
      <c r="T15" s="3"/>
      <c r="U15" s="4"/>
      <c r="AD15" s="92"/>
      <c r="AE15" s="92"/>
    </row>
    <row r="16" spans="1:31" ht="11.25" customHeight="1" x14ac:dyDescent="0.15">
      <c r="A16" s="3"/>
      <c r="B16" s="259"/>
      <c r="C16" s="513"/>
      <c r="D16" s="514"/>
      <c r="E16" s="514"/>
      <c r="F16" s="514"/>
      <c r="G16" s="514"/>
      <c r="H16" s="514"/>
      <c r="I16" s="514"/>
      <c r="J16" s="515"/>
      <c r="K16" s="253"/>
      <c r="L16" s="253"/>
      <c r="M16" s="259"/>
      <c r="N16" s="259"/>
      <c r="O16" s="259"/>
      <c r="P16" s="259"/>
      <c r="Q16" s="259"/>
      <c r="R16" s="259"/>
      <c r="S16" s="259"/>
      <c r="T16" s="3"/>
      <c r="U16" s="4"/>
      <c r="AD16" s="92"/>
      <c r="AE16" s="92"/>
    </row>
    <row r="17" spans="1:31" x14ac:dyDescent="0.15">
      <c r="A17" s="3"/>
      <c r="B17" s="259"/>
      <c r="C17" s="499"/>
      <c r="D17" s="219" t="s">
        <v>134</v>
      </c>
      <c r="E17" s="220"/>
      <c r="F17" s="220"/>
      <c r="G17" s="672"/>
      <c r="H17" s="673"/>
      <c r="I17" s="674"/>
      <c r="J17" s="516"/>
      <c r="K17" s="443"/>
      <c r="L17" s="275"/>
      <c r="M17" s="259"/>
      <c r="N17" s="259"/>
      <c r="O17" s="259"/>
      <c r="P17" s="259"/>
      <c r="Q17" s="259"/>
      <c r="R17" s="259"/>
      <c r="S17" s="259"/>
      <c r="T17" s="3"/>
      <c r="U17" s="4"/>
      <c r="AD17" s="92"/>
      <c r="AE17" s="92"/>
    </row>
    <row r="18" spans="1:31" x14ac:dyDescent="0.15">
      <c r="A18" s="3"/>
      <c r="B18" s="259"/>
      <c r="C18" s="499"/>
      <c r="D18" s="198" t="s">
        <v>135</v>
      </c>
      <c r="E18" s="221"/>
      <c r="F18" s="221"/>
      <c r="G18" s="672">
        <v>2020</v>
      </c>
      <c r="H18" s="673"/>
      <c r="I18" s="674"/>
      <c r="J18" s="516"/>
      <c r="K18" s="443"/>
      <c r="L18" s="253"/>
      <c r="M18" s="259"/>
      <c r="N18" s="259"/>
      <c r="O18" s="259"/>
      <c r="P18" s="259"/>
      <c r="Q18" s="259"/>
      <c r="R18" s="259"/>
      <c r="S18" s="278"/>
      <c r="T18" s="3"/>
      <c r="U18" s="4"/>
      <c r="AD18" s="92"/>
      <c r="AE18" s="92"/>
    </row>
    <row r="19" spans="1:31" x14ac:dyDescent="0.15">
      <c r="A19" s="3"/>
      <c r="B19" s="259"/>
      <c r="C19" s="499"/>
      <c r="D19" s="198" t="s">
        <v>136</v>
      </c>
      <c r="E19" s="221"/>
      <c r="F19" s="221"/>
      <c r="G19" s="778" t="s">
        <v>137</v>
      </c>
      <c r="H19" s="779"/>
      <c r="I19" s="780"/>
      <c r="J19" s="517"/>
      <c r="K19" s="444"/>
      <c r="L19" s="255"/>
      <c r="M19" s="259"/>
      <c r="N19" s="259"/>
      <c r="O19" s="259"/>
      <c r="P19" s="259"/>
      <c r="Q19" s="259"/>
      <c r="R19" s="259"/>
      <c r="S19" s="259"/>
      <c r="T19" s="3"/>
      <c r="U19" s="4"/>
      <c r="AD19" s="92"/>
      <c r="AE19" s="92"/>
    </row>
    <row r="20" spans="1:31" x14ac:dyDescent="0.15">
      <c r="A20" s="3"/>
      <c r="B20" s="259"/>
      <c r="C20" s="499"/>
      <c r="D20" s="198" t="s">
        <v>138</v>
      </c>
      <c r="E20" s="221"/>
      <c r="F20" s="226"/>
      <c r="G20" s="778" t="s">
        <v>139</v>
      </c>
      <c r="H20" s="779"/>
      <c r="I20" s="780"/>
      <c r="J20" s="517"/>
      <c r="K20" s="444"/>
      <c r="L20" s="255"/>
      <c r="M20" s="259"/>
      <c r="N20" s="259"/>
      <c r="O20" s="259"/>
      <c r="P20" s="259"/>
      <c r="Q20" s="259"/>
      <c r="R20" s="259"/>
      <c r="S20" s="259"/>
      <c r="T20" s="3"/>
      <c r="U20" s="4"/>
      <c r="AD20" s="92"/>
      <c r="AE20" s="92"/>
    </row>
    <row r="21" spans="1:31" x14ac:dyDescent="0.15">
      <c r="A21" s="3"/>
      <c r="B21" s="259"/>
      <c r="C21" s="499"/>
      <c r="D21" s="228" t="s">
        <v>140</v>
      </c>
      <c r="E21" s="222"/>
      <c r="F21" s="238"/>
      <c r="G21" s="672"/>
      <c r="H21" s="673"/>
      <c r="I21" s="674"/>
      <c r="J21" s="516"/>
      <c r="K21" s="443"/>
      <c r="L21" s="255"/>
      <c r="M21" s="259"/>
      <c r="N21" s="259"/>
      <c r="O21" s="259"/>
      <c r="P21" s="259"/>
      <c r="Q21" s="259"/>
      <c r="R21" s="259"/>
      <c r="S21" s="259"/>
      <c r="T21" s="3"/>
      <c r="U21" s="4"/>
      <c r="AD21" s="92"/>
      <c r="AE21" s="92"/>
    </row>
    <row r="22" spans="1:31" x14ac:dyDescent="0.15">
      <c r="A22" s="3"/>
      <c r="B22" s="259"/>
      <c r="C22" s="519"/>
      <c r="D22" s="520"/>
      <c r="E22" s="520"/>
      <c r="F22" s="520"/>
      <c r="G22" s="521"/>
      <c r="H22" s="521"/>
      <c r="I22" s="521"/>
      <c r="J22" s="518"/>
      <c r="K22" s="254"/>
      <c r="L22" s="255"/>
      <c r="M22" s="259"/>
      <c r="N22" s="259"/>
      <c r="O22" s="259"/>
      <c r="P22" s="259"/>
      <c r="Q22" s="259"/>
      <c r="R22" s="259"/>
      <c r="S22" s="259"/>
      <c r="T22" s="3"/>
      <c r="U22" s="4"/>
      <c r="AD22" s="92"/>
      <c r="AE22" s="92"/>
    </row>
    <row r="23" spans="1:31" x14ac:dyDescent="0.15">
      <c r="A23" s="3"/>
      <c r="B23" s="259"/>
      <c r="C23" s="253"/>
      <c r="D23" s="253"/>
      <c r="E23" s="253"/>
      <c r="F23" s="253"/>
      <c r="G23" s="254"/>
      <c r="H23" s="254"/>
      <c r="I23" s="254"/>
      <c r="J23" s="254"/>
      <c r="K23" s="254"/>
      <c r="L23" s="255"/>
      <c r="M23" s="259"/>
      <c r="N23" s="259"/>
      <c r="O23" s="259"/>
      <c r="P23" s="259"/>
      <c r="Q23" s="259"/>
      <c r="R23" s="259"/>
      <c r="S23" s="259"/>
      <c r="T23" s="3"/>
      <c r="U23" s="4"/>
      <c r="AD23" s="92"/>
      <c r="AE23" s="92"/>
    </row>
    <row r="24" spans="1:31" x14ac:dyDescent="0.15">
      <c r="A24" s="3"/>
      <c r="B24" s="259"/>
      <c r="C24" s="522"/>
      <c r="D24" s="523"/>
      <c r="E24" s="523"/>
      <c r="F24" s="523"/>
      <c r="G24" s="524"/>
      <c r="H24" s="524"/>
      <c r="I24" s="524"/>
      <c r="J24" s="525"/>
      <c r="K24" s="254"/>
      <c r="L24" s="255"/>
      <c r="M24" s="259"/>
      <c r="N24" s="259"/>
      <c r="O24" s="259"/>
      <c r="P24" s="259"/>
      <c r="Q24" s="259"/>
      <c r="R24" s="259"/>
      <c r="S24" s="259"/>
      <c r="T24" s="3"/>
      <c r="U24" s="4"/>
      <c r="AD24" s="92"/>
      <c r="AE24" s="92"/>
    </row>
    <row r="25" spans="1:31" x14ac:dyDescent="0.15">
      <c r="A25" s="3"/>
      <c r="B25" s="259"/>
      <c r="C25" s="499"/>
      <c r="D25" s="184" t="s">
        <v>141</v>
      </c>
      <c r="E25" s="67"/>
      <c r="F25" s="67"/>
      <c r="G25" s="257"/>
      <c r="H25" s="67"/>
      <c r="I25" s="528" t="str">
        <f>IF(AND((SUMIF(D27:D31,"(blank)",I27:I31)=0),(SUM(I27:I31)=100),(SUMIF(D27:D31,"-EUROPA-",I27:I31)=0),(SUMIF(D27:D31,"-ROW-",I27:I31)=0)),"ok","fejl")</f>
        <v>ok</v>
      </c>
      <c r="J25" s="500"/>
      <c r="K25" s="259"/>
      <c r="L25" s="259"/>
      <c r="M25" s="259"/>
      <c r="N25" s="259"/>
      <c r="O25" s="259"/>
      <c r="P25" s="259"/>
      <c r="Q25" s="259"/>
      <c r="R25" s="259"/>
      <c r="S25" s="259"/>
      <c r="T25" s="3"/>
      <c r="U25" s="4"/>
      <c r="AD25" s="92"/>
      <c r="AE25" s="92"/>
    </row>
    <row r="26" spans="1:31" x14ac:dyDescent="0.15">
      <c r="A26" s="3"/>
      <c r="B26" s="259"/>
      <c r="C26" s="499"/>
      <c r="D26" s="250" t="s">
        <v>142</v>
      </c>
      <c r="E26" s="251"/>
      <c r="F26" s="251"/>
      <c r="G26" s="251"/>
      <c r="H26" s="252"/>
      <c r="I26" s="16" t="s">
        <v>143</v>
      </c>
      <c r="J26" s="527"/>
      <c r="K26" s="259"/>
      <c r="L26" s="259"/>
      <c r="M26" s="259"/>
      <c r="N26" s="259"/>
      <c r="O26" s="259"/>
      <c r="P26" s="259"/>
      <c r="Q26" s="259"/>
      <c r="R26" s="259"/>
      <c r="S26" s="259"/>
      <c r="T26" s="3"/>
      <c r="U26" s="4"/>
      <c r="AD26" s="92"/>
      <c r="AE26" s="92"/>
    </row>
    <row r="27" spans="1:31" x14ac:dyDescent="0.15">
      <c r="A27" s="3"/>
      <c r="B27" s="259"/>
      <c r="C27" s="499"/>
      <c r="D27" s="840" t="s">
        <v>144</v>
      </c>
      <c r="E27" s="841"/>
      <c r="F27" s="841"/>
      <c r="G27" s="841"/>
      <c r="H27" s="842"/>
      <c r="I27" s="242">
        <v>100</v>
      </c>
      <c r="J27" s="500"/>
      <c r="K27" s="259"/>
      <c r="L27" s="259"/>
      <c r="M27" s="259"/>
      <c r="N27" s="259"/>
      <c r="O27" s="259"/>
      <c r="P27" s="259"/>
      <c r="Q27" s="259"/>
      <c r="R27" s="259"/>
      <c r="S27" s="259"/>
      <c r="T27" s="3"/>
      <c r="U27" s="4"/>
      <c r="AD27" s="92"/>
      <c r="AE27" s="92"/>
    </row>
    <row r="28" spans="1:31" x14ac:dyDescent="0.15">
      <c r="A28" s="3"/>
      <c r="B28" s="259"/>
      <c r="C28" s="499"/>
      <c r="D28" s="840" t="s">
        <v>145</v>
      </c>
      <c r="E28" s="841"/>
      <c r="F28" s="841"/>
      <c r="G28" s="841"/>
      <c r="H28" s="842"/>
      <c r="I28" s="242">
        <v>0</v>
      </c>
      <c r="J28" s="500"/>
      <c r="K28" s="259"/>
      <c r="L28" s="259"/>
      <c r="M28" s="259"/>
      <c r="N28" s="259"/>
      <c r="O28" s="259"/>
      <c r="P28" s="259"/>
      <c r="Q28" s="259"/>
      <c r="R28" s="259"/>
      <c r="S28" s="259"/>
      <c r="T28" s="3"/>
      <c r="U28" s="4"/>
      <c r="AD28" s="92"/>
      <c r="AE28" s="92"/>
    </row>
    <row r="29" spans="1:31" x14ac:dyDescent="0.15">
      <c r="A29" s="3"/>
      <c r="B29" s="259"/>
      <c r="C29" s="499"/>
      <c r="D29" s="840" t="s">
        <v>145</v>
      </c>
      <c r="E29" s="841"/>
      <c r="F29" s="841"/>
      <c r="G29" s="841"/>
      <c r="H29" s="842"/>
      <c r="I29" s="242"/>
      <c r="J29" s="500"/>
      <c r="K29" s="259"/>
      <c r="L29" s="259"/>
      <c r="M29" s="259"/>
      <c r="N29" s="259"/>
      <c r="O29" s="259"/>
      <c r="P29" s="259"/>
      <c r="Q29" s="259"/>
      <c r="R29" s="259"/>
      <c r="S29" s="259"/>
      <c r="T29" s="3"/>
      <c r="U29" s="4"/>
      <c r="AD29" s="92"/>
      <c r="AE29" s="92"/>
    </row>
    <row r="30" spans="1:31" x14ac:dyDescent="0.15">
      <c r="A30" s="3"/>
      <c r="B30" s="259"/>
      <c r="C30" s="499"/>
      <c r="D30" s="840" t="s">
        <v>145</v>
      </c>
      <c r="E30" s="841"/>
      <c r="F30" s="841"/>
      <c r="G30" s="841"/>
      <c r="H30" s="842"/>
      <c r="I30" s="242">
        <v>0</v>
      </c>
      <c r="J30" s="500"/>
      <c r="K30" s="259"/>
      <c r="L30" s="259"/>
      <c r="M30" s="259"/>
      <c r="N30" s="259"/>
      <c r="O30" s="259"/>
      <c r="P30" s="259"/>
      <c r="Q30" s="259"/>
      <c r="R30" s="259"/>
      <c r="S30" s="259"/>
      <c r="T30" s="3"/>
      <c r="U30" s="4"/>
      <c r="AD30" s="92"/>
      <c r="AE30" s="92"/>
    </row>
    <row r="31" spans="1:31" x14ac:dyDescent="0.15">
      <c r="A31" s="3"/>
      <c r="B31" s="259"/>
      <c r="C31" s="499"/>
      <c r="D31" s="840" t="s">
        <v>145</v>
      </c>
      <c r="E31" s="841"/>
      <c r="F31" s="841"/>
      <c r="G31" s="841"/>
      <c r="H31" s="842"/>
      <c r="I31" s="242">
        <v>0</v>
      </c>
      <c r="J31" s="500"/>
      <c r="K31" s="259"/>
      <c r="L31" s="259"/>
      <c r="M31" s="259"/>
      <c r="N31" s="259"/>
      <c r="O31" s="259"/>
      <c r="P31" s="259"/>
      <c r="Q31" s="259"/>
      <c r="R31" s="259"/>
      <c r="S31" s="259"/>
      <c r="T31" s="3"/>
      <c r="U31" s="4"/>
      <c r="AD31" s="92"/>
      <c r="AE31" s="92"/>
    </row>
    <row r="32" spans="1:31" x14ac:dyDescent="0.15">
      <c r="A32" s="3"/>
      <c r="B32" s="259"/>
      <c r="C32" s="499"/>
      <c r="D32" s="843"/>
      <c r="E32" s="843"/>
      <c r="F32" s="843"/>
      <c r="G32" s="843"/>
      <c r="H32" s="843"/>
      <c r="I32" s="529"/>
      <c r="J32" s="526"/>
      <c r="K32" s="259"/>
      <c r="L32" s="259"/>
      <c r="M32" s="259"/>
      <c r="N32" s="259"/>
      <c r="O32" s="259"/>
      <c r="P32" s="259"/>
      <c r="Q32" s="259"/>
      <c r="R32" s="259"/>
      <c r="S32" s="259"/>
      <c r="T32" s="3"/>
      <c r="U32" s="4"/>
      <c r="AD32" s="92"/>
      <c r="AE32" s="92"/>
    </row>
    <row r="33" spans="1:31" x14ac:dyDescent="0.15">
      <c r="A33" s="3"/>
      <c r="B33" s="259"/>
      <c r="C33" s="845" t="str">
        <f>IF(I25="ok","",
IF(SUMIF(D27:D31,"-EUROPA-",I27:I31)&lt;&gt;0,"Fejl: -EUROPA- kan ikke bruges som land.",
 IF(SUMIF(D27:D31,"-ROW-",I27:I31)&lt;&gt;0,"Fejl: -ROW- kan ikke bruges som land.",
  IF(SUMIF(D27:D31,"(blank)",I27:I31)&lt;&gt;0,"Fejl: (blank)-felter skal have 0% salg",
   "Fejl: total af salgspercentager skal være 100%"
))))</f>
        <v/>
      </c>
      <c r="D33" s="846"/>
      <c r="E33" s="846"/>
      <c r="F33" s="846"/>
      <c r="G33" s="846"/>
      <c r="H33" s="846"/>
      <c r="I33" s="846"/>
      <c r="J33" s="847"/>
      <c r="K33" s="259"/>
      <c r="L33" s="259"/>
      <c r="M33" s="259"/>
      <c r="N33" s="259"/>
      <c r="O33" s="259"/>
      <c r="P33" s="259"/>
      <c r="Q33" s="259"/>
      <c r="R33" s="259"/>
      <c r="S33" s="259"/>
      <c r="T33" s="3"/>
      <c r="U33" s="4"/>
      <c r="AD33" s="92"/>
      <c r="AE33" s="92"/>
    </row>
    <row r="34" spans="1:31" x14ac:dyDescent="0.15">
      <c r="A34" s="3"/>
      <c r="B34" s="253"/>
      <c r="C34" s="283"/>
      <c r="D34" s="283"/>
      <c r="E34" s="283"/>
      <c r="F34" s="283"/>
      <c r="G34" s="283"/>
      <c r="H34" s="283"/>
      <c r="I34" s="283"/>
      <c r="J34" s="283"/>
      <c r="K34" s="259"/>
      <c r="L34" s="259"/>
      <c r="M34" s="259"/>
      <c r="N34" s="259"/>
      <c r="O34" s="259"/>
      <c r="P34" s="259"/>
      <c r="Q34" s="259"/>
      <c r="R34" s="259"/>
      <c r="S34" s="259"/>
      <c r="T34" s="3"/>
      <c r="U34" s="4"/>
      <c r="AD34" s="92"/>
      <c r="AE34" s="92"/>
    </row>
    <row r="35" spans="1:31" s="15" customFormat="1" ht="14.25" customHeight="1" x14ac:dyDescent="0.2">
      <c r="A35" s="3"/>
      <c r="B35" s="259"/>
      <c r="C35" s="853" t="s">
        <v>146</v>
      </c>
      <c r="D35" s="854"/>
      <c r="E35" s="854"/>
      <c r="F35" s="854"/>
      <c r="G35" s="854"/>
      <c r="H35" s="854"/>
      <c r="I35" s="854"/>
      <c r="J35" s="855"/>
      <c r="K35" s="282"/>
      <c r="L35" s="279"/>
      <c r="M35" s="279"/>
      <c r="N35" s="279"/>
      <c r="O35" s="279"/>
      <c r="P35" s="279"/>
      <c r="Q35" s="279"/>
      <c r="R35" s="279"/>
      <c r="S35" s="279"/>
      <c r="T35" s="3"/>
      <c r="U35" s="4"/>
      <c r="AD35" s="92"/>
      <c r="AE35" s="92"/>
    </row>
    <row r="36" spans="1:31" s="15" customFormat="1" ht="22.5" customHeight="1" x14ac:dyDescent="0.2">
      <c r="A36" s="3"/>
      <c r="B36" s="259"/>
      <c r="C36" s="850" t="s">
        <v>147</v>
      </c>
      <c r="D36" s="851"/>
      <c r="E36" s="851"/>
      <c r="F36" s="851"/>
      <c r="G36" s="851"/>
      <c r="H36" s="851"/>
      <c r="I36" s="851"/>
      <c r="J36" s="852"/>
      <c r="K36" s="280"/>
      <c r="L36" s="280"/>
      <c r="M36" s="280"/>
      <c r="N36" s="280"/>
      <c r="O36" s="280"/>
      <c r="P36" s="280"/>
      <c r="Q36" s="280"/>
      <c r="R36" s="280"/>
      <c r="S36" s="280"/>
      <c r="T36" s="3"/>
      <c r="U36" s="4"/>
      <c r="AD36" s="92"/>
      <c r="AE36" s="92"/>
    </row>
    <row r="37" spans="1:31" s="15" customFormat="1" ht="14.25" x14ac:dyDescent="0.2">
      <c r="A37" s="3"/>
      <c r="B37" s="259"/>
      <c r="C37" s="856" t="s">
        <v>148</v>
      </c>
      <c r="D37" s="857"/>
      <c r="E37" s="857"/>
      <c r="F37" s="857"/>
      <c r="G37" s="857"/>
      <c r="H37" s="857"/>
      <c r="I37" s="857"/>
      <c r="J37" s="858"/>
      <c r="K37" s="280"/>
      <c r="L37" s="280"/>
      <c r="M37" s="280"/>
      <c r="N37" s="280"/>
      <c r="O37" s="280"/>
      <c r="P37" s="280"/>
      <c r="Q37" s="280"/>
      <c r="R37" s="280"/>
      <c r="S37" s="280"/>
      <c r="T37" s="3"/>
      <c r="U37" s="4"/>
      <c r="AD37" s="92"/>
      <c r="AE37" s="92"/>
    </row>
    <row r="38" spans="1:31" s="15" customFormat="1" ht="14.25" x14ac:dyDescent="0.2">
      <c r="A38" s="3"/>
      <c r="B38" s="259"/>
      <c r="C38" s="859" t="s">
        <v>149</v>
      </c>
      <c r="D38" s="860"/>
      <c r="E38" s="860"/>
      <c r="F38" s="860"/>
      <c r="G38" s="860"/>
      <c r="H38" s="860"/>
      <c r="I38" s="860"/>
      <c r="J38" s="861"/>
      <c r="K38" s="280"/>
      <c r="L38" s="280"/>
      <c r="M38" s="280"/>
      <c r="N38" s="280"/>
      <c r="O38" s="280"/>
      <c r="P38" s="280"/>
      <c r="Q38" s="280"/>
      <c r="R38" s="280"/>
      <c r="S38" s="280"/>
      <c r="T38" s="3"/>
      <c r="U38" s="4"/>
      <c r="AD38" s="92"/>
      <c r="AE38" s="92"/>
    </row>
    <row r="39" spans="1:31" s="15" customFormat="1" ht="14.25" x14ac:dyDescent="0.2">
      <c r="A39" s="3"/>
      <c r="B39" s="259"/>
      <c r="C39" s="862" t="s">
        <v>150</v>
      </c>
      <c r="D39" s="863"/>
      <c r="E39" s="863"/>
      <c r="F39" s="863"/>
      <c r="G39" s="863"/>
      <c r="H39" s="863"/>
      <c r="I39" s="863"/>
      <c r="J39" s="864"/>
      <c r="K39" s="280"/>
      <c r="L39" s="280"/>
      <c r="M39" s="280"/>
      <c r="N39" s="280"/>
      <c r="O39" s="280"/>
      <c r="P39" s="280"/>
      <c r="Q39" s="280"/>
      <c r="R39" s="280"/>
      <c r="S39" s="280"/>
      <c r="T39" s="3"/>
      <c r="U39" s="4"/>
      <c r="AD39" s="92"/>
      <c r="AE39" s="92"/>
    </row>
    <row r="40" spans="1:31" s="15" customFormat="1" ht="14.25" x14ac:dyDescent="0.2">
      <c r="A40" s="3"/>
      <c r="B40" s="259"/>
      <c r="C40" s="868" t="s">
        <v>151</v>
      </c>
      <c r="D40" s="869"/>
      <c r="E40" s="869"/>
      <c r="F40" s="869"/>
      <c r="G40" s="869"/>
      <c r="H40" s="869"/>
      <c r="I40" s="869"/>
      <c r="J40" s="870"/>
      <c r="K40" s="281"/>
      <c r="L40" s="281"/>
      <c r="M40" s="281"/>
      <c r="N40" s="281"/>
      <c r="O40" s="281"/>
      <c r="P40" s="281"/>
      <c r="Q40" s="281"/>
      <c r="R40" s="281"/>
      <c r="S40" s="280"/>
      <c r="T40" s="3"/>
      <c r="U40" s="4"/>
      <c r="AD40" s="92"/>
      <c r="AE40" s="92"/>
    </row>
    <row r="41" spans="1:31" s="15" customFormat="1" ht="14.25" x14ac:dyDescent="0.2">
      <c r="A41" s="3"/>
      <c r="B41" s="259"/>
      <c r="C41" s="865" t="s">
        <v>601</v>
      </c>
      <c r="D41" s="866"/>
      <c r="E41" s="866"/>
      <c r="F41" s="866"/>
      <c r="G41" s="866"/>
      <c r="H41" s="866"/>
      <c r="I41" s="866"/>
      <c r="J41" s="867"/>
      <c r="K41" s="280"/>
      <c r="L41" s="280"/>
      <c r="M41" s="280"/>
      <c r="N41" s="280"/>
      <c r="O41" s="280"/>
      <c r="P41" s="280"/>
      <c r="Q41" s="280"/>
      <c r="R41" s="280"/>
      <c r="S41" s="280"/>
      <c r="T41" s="3"/>
      <c r="U41" s="4"/>
      <c r="V41" s="4"/>
      <c r="W41" s="4"/>
      <c r="X41" s="92"/>
      <c r="Y41" s="92"/>
      <c r="Z41" s="92"/>
      <c r="AA41" s="92"/>
      <c r="AB41" s="92"/>
      <c r="AC41" s="92"/>
      <c r="AD41" s="92"/>
      <c r="AE41" s="92"/>
    </row>
    <row r="42" spans="1:31" x14ac:dyDescent="0.15">
      <c r="A42" s="93"/>
      <c r="B42" s="253"/>
      <c r="C42" s="253"/>
      <c r="D42" s="253"/>
      <c r="E42" s="253"/>
      <c r="F42" s="253"/>
      <c r="G42" s="253"/>
      <c r="H42" s="253"/>
      <c r="I42" s="253"/>
      <c r="J42" s="253"/>
      <c r="K42" s="253"/>
      <c r="L42" s="253"/>
      <c r="M42" s="253"/>
      <c r="N42" s="253"/>
      <c r="O42" s="253"/>
      <c r="P42" s="253"/>
      <c r="Q42" s="253"/>
      <c r="R42" s="253"/>
      <c r="S42" s="253"/>
      <c r="T42" s="93"/>
      <c r="U42" s="4"/>
      <c r="V42" s="4"/>
      <c r="W42" s="4"/>
      <c r="X42" s="92"/>
      <c r="Y42" s="92"/>
      <c r="Z42" s="92"/>
      <c r="AA42" s="92"/>
      <c r="AB42" s="92"/>
      <c r="AC42" s="92"/>
      <c r="AD42" s="92"/>
      <c r="AE42" s="92"/>
    </row>
    <row r="43" spans="1:31" ht="3" customHeight="1" x14ac:dyDescent="0.15">
      <c r="A43" s="93"/>
      <c r="B43" s="93"/>
      <c r="C43" s="93"/>
      <c r="D43" s="93"/>
      <c r="E43" s="93"/>
      <c r="F43" s="93"/>
      <c r="G43" s="93"/>
      <c r="H43" s="93"/>
      <c r="I43" s="93"/>
      <c r="J43" s="93"/>
      <c r="K43" s="93"/>
      <c r="L43" s="93"/>
      <c r="M43" s="93"/>
      <c r="N43" s="93"/>
      <c r="O43" s="93"/>
      <c r="P43" s="93"/>
      <c r="Q43" s="93"/>
      <c r="R43" s="93"/>
      <c r="S43" s="93"/>
      <c r="T43" s="93"/>
      <c r="U43" s="4"/>
      <c r="V43" s="4"/>
      <c r="W43" s="4"/>
      <c r="X43" s="92"/>
      <c r="Y43" s="92"/>
      <c r="Z43" s="92"/>
      <c r="AA43" s="92"/>
      <c r="AB43" s="92"/>
      <c r="AC43" s="92"/>
      <c r="AD43" s="92"/>
      <c r="AE43" s="92"/>
    </row>
    <row r="44" spans="1:31" ht="11.25" hidden="1" customHeight="1" x14ac:dyDescent="0.15">
      <c r="A44" s="3"/>
      <c r="B44" s="1"/>
      <c r="C44" s="6"/>
      <c r="D44" s="6" t="s">
        <v>152</v>
      </c>
      <c r="E44" s="2"/>
      <c r="F44" s="2"/>
      <c r="H44" s="239"/>
      <c r="I44" s="241">
        <v>1</v>
      </c>
      <c r="J44" s="5"/>
      <c r="K44" s="848" t="s">
        <v>153</v>
      </c>
      <c r="L44" s="849"/>
      <c r="M44" s="849"/>
      <c r="N44" s="849"/>
      <c r="O44" s="1"/>
      <c r="P44" s="1"/>
      <c r="Q44" s="1"/>
      <c r="R44" s="1"/>
      <c r="S44" s="1"/>
      <c r="T44" s="3"/>
      <c r="U44" s="4"/>
      <c r="V44" s="4"/>
      <c r="W44" s="4"/>
      <c r="X44" s="92"/>
      <c r="Y44" s="92"/>
      <c r="Z44" s="92"/>
      <c r="AA44" s="92"/>
      <c r="AB44" s="92"/>
      <c r="AC44" s="92"/>
      <c r="AD44" s="92"/>
      <c r="AE44" s="92"/>
    </row>
    <row r="45" spans="1:31" ht="11.25" hidden="1" customHeight="1" x14ac:dyDescent="0.15">
      <c r="A45" s="3"/>
      <c r="B45" s="1"/>
      <c r="C45" s="6"/>
      <c r="D45" s="6" t="s">
        <v>154</v>
      </c>
      <c r="E45" s="2"/>
      <c r="F45" s="2"/>
      <c r="H45" s="239"/>
      <c r="I45" s="241">
        <v>1</v>
      </c>
      <c r="J45" s="5"/>
      <c r="K45" s="848"/>
      <c r="L45" s="849"/>
      <c r="M45" s="849"/>
      <c r="N45" s="849"/>
      <c r="O45" s="1"/>
      <c r="P45" s="1"/>
      <c r="Q45" s="1"/>
      <c r="R45" s="1"/>
      <c r="S45" s="1"/>
      <c r="T45" s="3"/>
      <c r="U45" s="4"/>
      <c r="V45" s="4"/>
      <c r="W45" s="4"/>
      <c r="X45" s="92"/>
      <c r="Y45" s="92"/>
      <c r="Z45" s="92"/>
      <c r="AA45" s="92"/>
      <c r="AB45" s="92"/>
      <c r="AC45" s="92"/>
      <c r="AD45" s="92"/>
      <c r="AE45" s="92"/>
    </row>
    <row r="46" spans="1:31" ht="14.25" x14ac:dyDescent="0.2">
      <c r="A46" s="14"/>
      <c r="B46" s="281"/>
      <c r="C46" s="284" t="s">
        <v>155</v>
      </c>
      <c r="D46" s="285"/>
      <c r="E46" s="285"/>
      <c r="F46" s="285"/>
      <c r="G46" s="285"/>
      <c r="H46" s="285"/>
      <c r="I46" s="286"/>
      <c r="J46" s="286"/>
      <c r="K46" s="285"/>
      <c r="L46" s="285"/>
      <c r="M46" s="285"/>
      <c r="N46" s="285"/>
      <c r="O46" s="285"/>
      <c r="P46" s="285"/>
      <c r="Q46" s="285"/>
      <c r="R46" s="285"/>
      <c r="S46" s="285"/>
      <c r="T46" s="14"/>
      <c r="U46" s="4"/>
      <c r="V46" s="4"/>
      <c r="W46" s="4"/>
      <c r="X46" s="92"/>
      <c r="Y46" s="92"/>
      <c r="Z46" s="92"/>
      <c r="AA46" s="92"/>
      <c r="AB46" s="92"/>
      <c r="AC46" s="92"/>
      <c r="AD46" s="92"/>
      <c r="AE46" s="92"/>
    </row>
    <row r="47" spans="1:31" ht="14.25" x14ac:dyDescent="0.2">
      <c r="A47" s="14"/>
      <c r="B47" s="281"/>
      <c r="C47" s="287"/>
      <c r="D47" s="285"/>
      <c r="E47" s="285"/>
      <c r="F47" s="285"/>
      <c r="G47" s="285"/>
      <c r="H47" s="285"/>
      <c r="I47" s="286"/>
      <c r="J47" s="286"/>
      <c r="K47" s="285"/>
      <c r="L47" s="285"/>
      <c r="M47" s="285"/>
      <c r="N47" s="285"/>
      <c r="O47" s="285"/>
      <c r="P47" s="285"/>
      <c r="Q47" s="285"/>
      <c r="R47" s="285"/>
      <c r="S47" s="285"/>
      <c r="T47" s="14"/>
      <c r="U47" s="4"/>
      <c r="V47" s="4"/>
      <c r="W47" s="4"/>
      <c r="X47" s="92"/>
      <c r="Y47" s="92"/>
      <c r="Z47" s="92"/>
      <c r="AA47" s="92"/>
      <c r="AB47" s="92"/>
      <c r="AC47" s="92"/>
      <c r="AD47" s="92"/>
      <c r="AE47" s="92"/>
    </row>
    <row r="48" spans="1:31" ht="14.25" x14ac:dyDescent="0.2">
      <c r="A48" s="14"/>
      <c r="B48" s="281"/>
      <c r="C48" s="287" t="s">
        <v>156</v>
      </c>
      <c r="D48" s="285"/>
      <c r="E48" s="285"/>
      <c r="F48" s="285"/>
      <c r="G48" s="285"/>
      <c r="H48" s="285"/>
      <c r="I48" s="286"/>
      <c r="J48" s="286"/>
      <c r="K48" s="285"/>
      <c r="L48" s="285"/>
      <c r="M48" s="285"/>
      <c r="N48" s="285"/>
      <c r="O48" s="285"/>
      <c r="P48" s="285"/>
      <c r="Q48" s="285"/>
      <c r="R48" s="285"/>
      <c r="S48" s="285"/>
      <c r="T48" s="14"/>
      <c r="U48" s="4"/>
      <c r="V48" s="4"/>
      <c r="W48" s="4"/>
      <c r="X48" s="92"/>
      <c r="Y48" s="92"/>
      <c r="Z48" s="92"/>
      <c r="AA48" s="92"/>
      <c r="AB48" s="92"/>
      <c r="AC48" s="92"/>
      <c r="AD48" s="92"/>
      <c r="AE48" s="92"/>
    </row>
    <row r="49" spans="1:31" ht="11.25" customHeight="1" x14ac:dyDescent="0.15">
      <c r="A49" s="3"/>
      <c r="B49" s="259"/>
      <c r="C49" s="727" t="s">
        <v>157</v>
      </c>
      <c r="D49" s="727"/>
      <c r="E49" s="727"/>
      <c r="F49" s="727"/>
      <c r="G49" s="727"/>
      <c r="H49" s="727"/>
      <c r="I49" s="727"/>
      <c r="J49" s="727"/>
      <c r="K49" s="727"/>
      <c r="L49" s="727"/>
      <c r="M49" s="727"/>
      <c r="N49" s="727"/>
      <c r="O49" s="727"/>
      <c r="P49" s="727"/>
      <c r="Q49" s="727"/>
      <c r="R49" s="727"/>
      <c r="S49" s="727"/>
      <c r="T49" s="3"/>
      <c r="U49" s="4"/>
      <c r="V49" s="4"/>
      <c r="W49" s="4"/>
      <c r="X49" s="92"/>
      <c r="Y49" s="92"/>
      <c r="Z49" s="92"/>
      <c r="AA49" s="92"/>
      <c r="AB49" s="92"/>
      <c r="AC49" s="92"/>
      <c r="AD49" s="92"/>
      <c r="AE49" s="92"/>
    </row>
    <row r="50" spans="1:31" x14ac:dyDescent="0.15">
      <c r="A50" s="3"/>
      <c r="B50" s="259"/>
      <c r="C50" s="253"/>
      <c r="D50" s="261"/>
      <c r="E50" s="261"/>
      <c r="F50" s="261"/>
      <c r="G50" s="261"/>
      <c r="H50" s="261"/>
      <c r="I50" s="253"/>
      <c r="J50" s="253"/>
      <c r="K50" s="261"/>
      <c r="L50" s="261"/>
      <c r="M50" s="261"/>
      <c r="N50" s="261"/>
      <c r="O50" s="261"/>
      <c r="P50" s="261"/>
      <c r="Q50" s="494"/>
      <c r="R50" s="261"/>
      <c r="S50" s="261"/>
      <c r="T50" s="3"/>
      <c r="U50" s="4"/>
      <c r="V50" s="4"/>
      <c r="W50" s="4"/>
      <c r="X50" s="92"/>
      <c r="Y50" s="92"/>
      <c r="Z50" s="92"/>
      <c r="AA50" s="92"/>
      <c r="AB50" s="92"/>
      <c r="AC50" s="92"/>
      <c r="AD50" s="92"/>
      <c r="AE50" s="92"/>
    </row>
    <row r="51" spans="1:31" x14ac:dyDescent="0.15">
      <c r="A51" s="3"/>
      <c r="B51" s="259"/>
      <c r="C51" s="408"/>
      <c r="D51" s="409"/>
      <c r="E51" s="409"/>
      <c r="F51" s="409"/>
      <c r="G51" s="409"/>
      <c r="H51" s="409"/>
      <c r="I51" s="409"/>
      <c r="J51" s="409"/>
      <c r="K51" s="410"/>
      <c r="L51" s="409"/>
      <c r="M51" s="409"/>
      <c r="N51" s="411"/>
      <c r="O51" s="261"/>
      <c r="P51" s="261"/>
      <c r="Q51" s="530"/>
      <c r="R51" s="261"/>
      <c r="S51" s="261"/>
      <c r="T51" s="3"/>
      <c r="U51" s="4"/>
      <c r="V51" s="4"/>
      <c r="W51" s="4"/>
      <c r="X51" s="92"/>
      <c r="Y51" s="92"/>
      <c r="Z51" s="92"/>
      <c r="AA51" s="92"/>
      <c r="AB51" s="92"/>
      <c r="AC51" s="92"/>
      <c r="AD51" s="92"/>
      <c r="AE51" s="92"/>
    </row>
    <row r="52" spans="1:31" ht="27" customHeight="1" x14ac:dyDescent="0.15">
      <c r="A52" s="3"/>
      <c r="B52" s="259"/>
      <c r="C52" s="419"/>
      <c r="D52" s="883" t="s">
        <v>158</v>
      </c>
      <c r="E52" s="884"/>
      <c r="F52" s="885"/>
      <c r="G52" s="321" t="s">
        <v>159</v>
      </c>
      <c r="H52" s="461" t="s">
        <v>161</v>
      </c>
      <c r="I52" s="498" t="s">
        <v>160</v>
      </c>
      <c r="J52" s="773" t="s">
        <v>162</v>
      </c>
      <c r="K52" s="669"/>
      <c r="L52" s="694" t="s">
        <v>163</v>
      </c>
      <c r="M52" s="695"/>
      <c r="N52" s="412"/>
      <c r="O52" s="261"/>
      <c r="P52" s="261"/>
      <c r="Q52" s="530"/>
      <c r="R52" s="261"/>
      <c r="S52" s="261"/>
      <c r="T52" s="3"/>
      <c r="U52" s="4"/>
      <c r="V52" s="4"/>
      <c r="W52" s="4"/>
      <c r="X52" s="92"/>
      <c r="Y52" s="92"/>
      <c r="Z52" s="92"/>
      <c r="AA52" s="92"/>
      <c r="AB52" s="92"/>
      <c r="AC52" s="92"/>
      <c r="AD52" s="92"/>
      <c r="AE52" s="92"/>
    </row>
    <row r="53" spans="1:31" ht="11.25" customHeight="1" x14ac:dyDescent="0.15">
      <c r="A53" s="3"/>
      <c r="B53" s="259"/>
      <c r="C53" s="415"/>
      <c r="D53" s="672" t="s">
        <v>145</v>
      </c>
      <c r="E53" s="673"/>
      <c r="F53" s="674"/>
      <c r="G53" s="501"/>
      <c r="H53" s="501"/>
      <c r="I53" s="565">
        <f>G53-H53</f>
        <v>0</v>
      </c>
      <c r="J53" s="776">
        <f>IF($D53="(Blank)",0,VLOOKUP($D53,'DB materialer'!$B$7:$Y$56,22,FALSE))</f>
        <v>0</v>
      </c>
      <c r="K53" s="777"/>
      <c r="L53" s="755">
        <f>IF($D53="(Blank)",0,VLOOKUP($D53,'DB materialer'!$B$7:$Y$56,24,FALSE))</f>
        <v>0</v>
      </c>
      <c r="M53" s="756"/>
      <c r="N53" s="413"/>
      <c r="O53" s="261"/>
      <c r="P53" s="261"/>
      <c r="Q53" s="530"/>
      <c r="R53" s="261"/>
      <c r="S53" s="261"/>
      <c r="T53" s="3"/>
      <c r="U53" s="4"/>
      <c r="V53" s="4"/>
      <c r="W53" s="4"/>
      <c r="X53" s="92"/>
      <c r="Y53" s="92"/>
      <c r="Z53" s="92"/>
      <c r="AA53" s="92"/>
      <c r="AB53" s="92"/>
      <c r="AC53" s="92"/>
      <c r="AD53" s="92"/>
      <c r="AE53" s="92"/>
    </row>
    <row r="54" spans="1:31" ht="11.25" customHeight="1" x14ac:dyDescent="0.15">
      <c r="A54" s="3"/>
      <c r="B54" s="259"/>
      <c r="C54" s="415"/>
      <c r="D54" s="672" t="s">
        <v>145</v>
      </c>
      <c r="E54" s="673"/>
      <c r="F54" s="674"/>
      <c r="G54" s="501"/>
      <c r="H54" s="501"/>
      <c r="I54" s="565">
        <f t="shared" ref="I54:I57" si="0">G54-H54</f>
        <v>0</v>
      </c>
      <c r="J54" s="776">
        <f>IF($D54="(Blank)",0,VLOOKUP($D54,'DB materialer'!$B$7:$Y$56,22,FALSE))</f>
        <v>0</v>
      </c>
      <c r="K54" s="777"/>
      <c r="L54" s="755">
        <f>IF($D54="(Blank)",0,VLOOKUP($D54,'DB materialer'!$B$7:$Y$56,24,FALSE))</f>
        <v>0</v>
      </c>
      <c r="M54" s="756"/>
      <c r="N54" s="412"/>
      <c r="O54" s="261"/>
      <c r="P54" s="261"/>
      <c r="Q54" s="530"/>
      <c r="R54" s="261"/>
      <c r="S54" s="261"/>
      <c r="T54" s="3"/>
      <c r="U54" s="4"/>
      <c r="V54" s="4"/>
      <c r="W54" s="4"/>
      <c r="X54" s="92"/>
      <c r="Y54" s="92"/>
      <c r="Z54" s="92"/>
      <c r="AA54" s="92"/>
      <c r="AB54" s="92"/>
      <c r="AC54" s="92"/>
      <c r="AD54" s="92"/>
      <c r="AE54" s="92"/>
    </row>
    <row r="55" spans="1:31" x14ac:dyDescent="0.15">
      <c r="A55" s="3"/>
      <c r="B55" s="259"/>
      <c r="C55" s="415"/>
      <c r="D55" s="672" t="s">
        <v>145</v>
      </c>
      <c r="E55" s="673"/>
      <c r="F55" s="674"/>
      <c r="G55" s="501"/>
      <c r="H55" s="501"/>
      <c r="I55" s="565">
        <f t="shared" si="0"/>
        <v>0</v>
      </c>
      <c r="J55" s="776">
        <f>IF($D55="(Blank)",0,VLOOKUP($D55,'DB materialer'!$B$7:$Y$56,22,FALSE))</f>
        <v>0</v>
      </c>
      <c r="K55" s="777"/>
      <c r="L55" s="755">
        <f>IF($D55="(Blank)",0,VLOOKUP($D55,'DB materialer'!$B$7:$Y$56,24,FALSE))</f>
        <v>0</v>
      </c>
      <c r="M55" s="756"/>
      <c r="N55" s="412"/>
      <c r="O55" s="261"/>
      <c r="P55" s="261"/>
      <c r="Q55" s="530"/>
      <c r="R55" s="261"/>
      <c r="S55" s="261"/>
      <c r="T55" s="3"/>
      <c r="U55" s="4"/>
      <c r="V55" s="4"/>
      <c r="W55" s="4"/>
      <c r="X55" s="92"/>
      <c r="Y55" s="92"/>
      <c r="Z55" s="92"/>
      <c r="AA55" s="92"/>
      <c r="AB55" s="92"/>
      <c r="AC55" s="92"/>
      <c r="AD55" s="92"/>
      <c r="AE55" s="92"/>
    </row>
    <row r="56" spans="1:31" x14ac:dyDescent="0.15">
      <c r="A56" s="3"/>
      <c r="B56" s="259"/>
      <c r="C56" s="415"/>
      <c r="D56" s="672" t="s">
        <v>145</v>
      </c>
      <c r="E56" s="673"/>
      <c r="F56" s="674"/>
      <c r="G56" s="501"/>
      <c r="H56" s="501"/>
      <c r="I56" s="565">
        <f t="shared" si="0"/>
        <v>0</v>
      </c>
      <c r="J56" s="776">
        <f>IF($D56="(Blank)",0,VLOOKUP($D56,'DB materialer'!$B$7:$Y$56,22,FALSE))</f>
        <v>0</v>
      </c>
      <c r="K56" s="777"/>
      <c r="L56" s="755">
        <f>IF($D56="(Blank)",0,VLOOKUP($D56,'DB materialer'!$B$7:$Y$56,24,FALSE))</f>
        <v>0</v>
      </c>
      <c r="M56" s="756"/>
      <c r="N56" s="412"/>
      <c r="O56" s="261"/>
      <c r="P56" s="261"/>
      <c r="Q56" s="531"/>
      <c r="R56" s="261"/>
      <c r="S56" s="261"/>
      <c r="T56" s="3"/>
      <c r="U56" s="4"/>
      <c r="V56" s="4"/>
      <c r="W56" s="4"/>
      <c r="X56" s="92"/>
      <c r="Y56" s="92"/>
      <c r="Z56" s="92"/>
      <c r="AA56" s="92"/>
      <c r="AB56" s="92"/>
      <c r="AC56" s="92"/>
      <c r="AD56" s="92"/>
      <c r="AE56" s="92"/>
    </row>
    <row r="57" spans="1:31" x14ac:dyDescent="0.15">
      <c r="A57" s="3"/>
      <c r="B57" s="259"/>
      <c r="C57" s="415"/>
      <c r="D57" s="672" t="s">
        <v>145</v>
      </c>
      <c r="E57" s="673"/>
      <c r="F57" s="674"/>
      <c r="G57" s="502"/>
      <c r="H57" s="501"/>
      <c r="I57" s="565">
        <f t="shared" si="0"/>
        <v>0</v>
      </c>
      <c r="J57" s="776">
        <f>IF($D57="(Blank)",0,VLOOKUP($D57,'DB materialer'!$B$7:$Y$56,22,FALSE))</f>
        <v>0</v>
      </c>
      <c r="K57" s="777"/>
      <c r="L57" s="755">
        <f>IF($D57="(Blank)",0,VLOOKUP($D57,'DB materialer'!$B$7:$Y$56,24,FALSE))</f>
        <v>0</v>
      </c>
      <c r="M57" s="756"/>
      <c r="N57" s="412"/>
      <c r="O57" s="261"/>
      <c r="P57" s="261"/>
      <c r="Q57" s="495"/>
      <c r="R57" s="261"/>
      <c r="S57" s="261"/>
      <c r="T57" s="3"/>
      <c r="U57" s="4"/>
      <c r="V57" s="4"/>
      <c r="W57" s="4"/>
      <c r="X57" s="92"/>
      <c r="Y57" s="92"/>
      <c r="Z57" s="92"/>
      <c r="AA57" s="92"/>
      <c r="AB57" s="92"/>
      <c r="AC57" s="92"/>
      <c r="AD57" s="92"/>
      <c r="AE57" s="92"/>
    </row>
    <row r="58" spans="1:31" s="269" customFormat="1" x14ac:dyDescent="0.15">
      <c r="A58" s="266"/>
      <c r="B58" s="289"/>
      <c r="C58" s="420"/>
      <c r="D58" s="767" t="s">
        <v>164</v>
      </c>
      <c r="E58" s="768"/>
      <c r="F58" s="769"/>
      <c r="G58" s="506">
        <f>SUM(G53:G57)</f>
        <v>0</v>
      </c>
      <c r="H58" s="503">
        <f>SUM(H53:H57)</f>
        <v>0</v>
      </c>
      <c r="I58" s="566">
        <f>SUM(I53:I57)</f>
        <v>0</v>
      </c>
      <c r="J58" s="774">
        <f>SUM(J53:K57)</f>
        <v>0</v>
      </c>
      <c r="K58" s="775"/>
      <c r="L58" s="753">
        <f>SUM(L53:L57)</f>
        <v>0</v>
      </c>
      <c r="M58" s="754"/>
      <c r="N58" s="414"/>
      <c r="O58" s="264"/>
      <c r="P58" s="264"/>
      <c r="Q58" s="264"/>
      <c r="R58" s="264"/>
      <c r="S58" s="264"/>
      <c r="T58" s="266"/>
      <c r="U58" s="267"/>
      <c r="V58" s="267"/>
      <c r="W58" s="267"/>
      <c r="X58" s="268"/>
      <c r="Y58" s="268"/>
      <c r="Z58" s="268"/>
      <c r="AA58" s="268"/>
      <c r="AB58" s="268"/>
      <c r="AC58" s="268"/>
      <c r="AD58" s="268"/>
      <c r="AE58" s="268"/>
    </row>
    <row r="59" spans="1:31" ht="11.25" customHeight="1" x14ac:dyDescent="0.15">
      <c r="A59" s="3"/>
      <c r="B59" s="259"/>
      <c r="C59" s="415"/>
      <c r="D59" s="770"/>
      <c r="E59" s="771"/>
      <c r="F59" s="772"/>
      <c r="G59" s="570" t="s">
        <v>165</v>
      </c>
      <c r="H59" s="262" t="s">
        <v>165</v>
      </c>
      <c r="I59" s="567" t="s">
        <v>165</v>
      </c>
      <c r="J59" s="763" t="s">
        <v>166</v>
      </c>
      <c r="K59" s="764"/>
      <c r="L59" s="765" t="s">
        <v>167</v>
      </c>
      <c r="M59" s="766"/>
      <c r="N59" s="412"/>
      <c r="O59" s="261"/>
      <c r="P59" s="261"/>
      <c r="Q59" s="261"/>
      <c r="R59" s="261"/>
      <c r="S59" s="261"/>
      <c r="T59" s="3"/>
      <c r="U59" s="4"/>
      <c r="V59" s="4"/>
      <c r="W59" s="4"/>
      <c r="X59" s="92"/>
      <c r="Y59" s="92"/>
      <c r="Z59" s="92"/>
      <c r="AA59" s="92"/>
      <c r="AB59" s="92"/>
      <c r="AC59" s="92"/>
      <c r="AD59" s="92"/>
      <c r="AE59" s="92"/>
    </row>
    <row r="60" spans="1:31" ht="11.25" customHeight="1" x14ac:dyDescent="0.15">
      <c r="A60" s="3"/>
      <c r="B60" s="259"/>
      <c r="C60" s="415"/>
      <c r="D60" s="416"/>
      <c r="E60" s="416"/>
      <c r="F60" s="416"/>
      <c r="G60" s="417"/>
      <c r="H60" s="417"/>
      <c r="I60" s="417"/>
      <c r="J60" s="417"/>
      <c r="K60" s="417"/>
      <c r="L60" s="418"/>
      <c r="M60" s="418"/>
      <c r="N60" s="412"/>
      <c r="O60" s="261"/>
      <c r="P60" s="261"/>
      <c r="Q60" s="261"/>
      <c r="R60" s="261"/>
      <c r="S60" s="261"/>
      <c r="T60" s="3"/>
      <c r="U60" s="4"/>
      <c r="V60" s="4"/>
      <c r="W60" s="4"/>
      <c r="X60" s="92"/>
      <c r="Y60" s="92"/>
      <c r="Z60" s="92"/>
      <c r="AA60" s="92"/>
      <c r="AB60" s="92"/>
      <c r="AC60" s="92"/>
      <c r="AD60" s="92"/>
      <c r="AE60" s="92"/>
    </row>
    <row r="61" spans="1:31" x14ac:dyDescent="0.15">
      <c r="A61" s="3"/>
      <c r="B61" s="259"/>
      <c r="C61" s="757" t="str">
        <f ca="1">IF((SUMIF(D53:E57,"(blank)",H53:H57)=0),"","Der er indberettet en besparelse af en ikke-defineret materiale.")</f>
        <v/>
      </c>
      <c r="D61" s="758"/>
      <c r="E61" s="758"/>
      <c r="F61" s="758"/>
      <c r="G61" s="758"/>
      <c r="H61" s="758"/>
      <c r="I61" s="758"/>
      <c r="J61" s="758"/>
      <c r="K61" s="758"/>
      <c r="L61" s="758"/>
      <c r="M61" s="758"/>
      <c r="N61" s="759"/>
      <c r="O61" s="261"/>
      <c r="P61" s="261"/>
      <c r="Q61" s="261"/>
      <c r="R61" s="261"/>
      <c r="S61" s="261"/>
      <c r="T61" s="3"/>
      <c r="U61" s="4"/>
      <c r="V61" s="4"/>
      <c r="W61" s="4"/>
      <c r="X61" s="92"/>
      <c r="Y61" s="92"/>
      <c r="Z61" s="92"/>
      <c r="AA61" s="92"/>
      <c r="AB61" s="92"/>
      <c r="AC61" s="92"/>
      <c r="AD61" s="92"/>
      <c r="AE61" s="92"/>
    </row>
    <row r="62" spans="1:31" x14ac:dyDescent="0.15">
      <c r="A62" s="3"/>
      <c r="B62" s="259"/>
      <c r="C62" s="760"/>
      <c r="D62" s="761"/>
      <c r="E62" s="761"/>
      <c r="F62" s="761"/>
      <c r="G62" s="761"/>
      <c r="H62" s="761"/>
      <c r="I62" s="761"/>
      <c r="J62" s="761"/>
      <c r="K62" s="761"/>
      <c r="L62" s="761"/>
      <c r="M62" s="761"/>
      <c r="N62" s="762"/>
      <c r="O62" s="261"/>
      <c r="P62" s="261"/>
      <c r="Q62" s="261"/>
      <c r="R62" s="261"/>
      <c r="S62" s="261"/>
      <c r="T62" s="3"/>
      <c r="U62" s="4"/>
      <c r="V62" s="4"/>
      <c r="W62" s="4"/>
      <c r="X62" s="92"/>
      <c r="Y62" s="92"/>
      <c r="Z62" s="92"/>
      <c r="AA62" s="92"/>
      <c r="AB62" s="92"/>
      <c r="AC62" s="92"/>
      <c r="AD62" s="92"/>
      <c r="AE62" s="92"/>
    </row>
    <row r="63" spans="1:31" x14ac:dyDescent="0.15">
      <c r="A63" s="3"/>
      <c r="B63" s="259"/>
      <c r="C63" s="259"/>
      <c r="D63" s="259"/>
      <c r="E63" s="259"/>
      <c r="F63" s="259"/>
      <c r="G63" s="259"/>
      <c r="H63" s="259"/>
      <c r="I63" s="259"/>
      <c r="J63" s="259"/>
      <c r="K63" s="259"/>
      <c r="L63" s="259"/>
      <c r="M63" s="259"/>
      <c r="N63" s="259"/>
      <c r="O63" s="259"/>
      <c r="P63" s="259"/>
      <c r="Q63" s="259"/>
      <c r="R63" s="259"/>
      <c r="S63" s="259"/>
      <c r="T63" s="3"/>
      <c r="U63" s="4"/>
      <c r="V63" s="4"/>
      <c r="W63" s="4"/>
      <c r="X63" s="92"/>
      <c r="Y63" s="92"/>
      <c r="Z63" s="92"/>
      <c r="AA63" s="92"/>
      <c r="AB63" s="92"/>
      <c r="AC63" s="92"/>
      <c r="AD63" s="92"/>
      <c r="AE63" s="92"/>
    </row>
    <row r="64" spans="1:31" x14ac:dyDescent="0.15">
      <c r="A64" s="3"/>
      <c r="B64" s="259"/>
      <c r="C64" s="288" t="s">
        <v>168</v>
      </c>
      <c r="D64" s="264"/>
      <c r="E64" s="264"/>
      <c r="F64" s="264"/>
      <c r="G64" s="264"/>
      <c r="H64" s="264"/>
      <c r="I64" s="259"/>
      <c r="J64" s="253"/>
      <c r="K64" s="261"/>
      <c r="L64" s="261"/>
      <c r="M64" s="261"/>
      <c r="N64" s="261"/>
      <c r="O64" s="261"/>
      <c r="P64" s="261"/>
      <c r="Q64" s="261"/>
      <c r="R64" s="261"/>
      <c r="S64" s="261"/>
      <c r="T64" s="3"/>
      <c r="U64" s="4"/>
      <c r="V64" s="4"/>
      <c r="W64" s="4"/>
      <c r="X64" s="92"/>
      <c r="Y64" s="92"/>
      <c r="Z64" s="92"/>
      <c r="AA64" s="92"/>
      <c r="AB64" s="92"/>
      <c r="AC64" s="92"/>
    </row>
    <row r="65" spans="1:31" ht="11.25" customHeight="1" x14ac:dyDescent="0.15">
      <c r="A65" s="3"/>
      <c r="B65" s="259"/>
      <c r="C65" s="727" t="s">
        <v>169</v>
      </c>
      <c r="D65" s="727"/>
      <c r="E65" s="727"/>
      <c r="F65" s="727"/>
      <c r="G65" s="727"/>
      <c r="H65" s="727"/>
      <c r="I65" s="727"/>
      <c r="J65" s="727"/>
      <c r="K65" s="727"/>
      <c r="L65" s="727"/>
      <c r="M65" s="727"/>
      <c r="N65" s="727"/>
      <c r="O65" s="727"/>
      <c r="P65" s="727"/>
      <c r="Q65" s="727"/>
      <c r="R65" s="727"/>
      <c r="S65" s="727"/>
      <c r="T65" s="3"/>
      <c r="U65" s="4"/>
      <c r="V65" s="4"/>
      <c r="W65" s="4"/>
      <c r="X65" s="92"/>
      <c r="Y65" s="92"/>
      <c r="Z65" s="92"/>
      <c r="AA65" s="92"/>
      <c r="AB65" s="92"/>
      <c r="AC65" s="92"/>
    </row>
    <row r="66" spans="1:31" x14ac:dyDescent="0.15">
      <c r="A66" s="3"/>
      <c r="B66" s="259"/>
      <c r="C66" s="727"/>
      <c r="D66" s="727"/>
      <c r="E66" s="727"/>
      <c r="F66" s="727"/>
      <c r="G66" s="727"/>
      <c r="H66" s="727"/>
      <c r="I66" s="727"/>
      <c r="J66" s="727"/>
      <c r="K66" s="727"/>
      <c r="L66" s="727"/>
      <c r="M66" s="727"/>
      <c r="N66" s="727"/>
      <c r="O66" s="727"/>
      <c r="P66" s="727"/>
      <c r="Q66" s="727"/>
      <c r="R66" s="727"/>
      <c r="S66" s="727"/>
      <c r="T66" s="3"/>
      <c r="U66" s="4"/>
      <c r="V66" s="4"/>
      <c r="W66" s="4"/>
      <c r="X66" s="92"/>
      <c r="Y66" s="92"/>
      <c r="Z66" s="92"/>
      <c r="AA66" s="92"/>
      <c r="AB66" s="92"/>
      <c r="AC66" s="92"/>
    </row>
    <row r="67" spans="1:31" x14ac:dyDescent="0.15">
      <c r="A67" s="3"/>
      <c r="B67" s="259"/>
      <c r="C67" s="727"/>
      <c r="D67" s="727"/>
      <c r="E67" s="727"/>
      <c r="F67" s="727"/>
      <c r="G67" s="727"/>
      <c r="H67" s="727"/>
      <c r="I67" s="727"/>
      <c r="J67" s="727"/>
      <c r="K67" s="727"/>
      <c r="L67" s="727"/>
      <c r="M67" s="727"/>
      <c r="N67" s="727"/>
      <c r="O67" s="727"/>
      <c r="P67" s="727"/>
      <c r="Q67" s="727"/>
      <c r="R67" s="727"/>
      <c r="S67" s="727"/>
      <c r="T67" s="3"/>
      <c r="U67" s="92"/>
      <c r="V67" s="92"/>
      <c r="W67" s="92"/>
      <c r="X67" s="92"/>
      <c r="Y67" s="92"/>
      <c r="Z67" s="92"/>
      <c r="AA67" s="92"/>
      <c r="AB67" s="92"/>
      <c r="AC67" s="92"/>
    </row>
    <row r="68" spans="1:31" x14ac:dyDescent="0.15">
      <c r="A68" s="3"/>
      <c r="B68" s="259"/>
      <c r="C68" s="259"/>
      <c r="D68" s="259"/>
      <c r="E68" s="259"/>
      <c r="F68" s="259"/>
      <c r="G68" s="259"/>
      <c r="H68" s="259"/>
      <c r="I68" s="259"/>
      <c r="J68" s="259"/>
      <c r="K68" s="259"/>
      <c r="L68" s="259"/>
      <c r="M68" s="259"/>
      <c r="N68" s="259"/>
      <c r="O68" s="259"/>
      <c r="P68" s="259"/>
      <c r="Q68" s="259"/>
      <c r="R68" s="259"/>
      <c r="S68" s="259"/>
      <c r="T68" s="3"/>
      <c r="U68" s="92"/>
      <c r="V68" s="92"/>
      <c r="W68" s="92"/>
      <c r="X68" s="92"/>
      <c r="Y68" s="92"/>
      <c r="Z68" s="92"/>
      <c r="AA68" s="92"/>
      <c r="AB68" s="92"/>
      <c r="AC68" s="92"/>
    </row>
    <row r="69" spans="1:31" x14ac:dyDescent="0.15">
      <c r="A69" s="3"/>
      <c r="B69" s="259"/>
      <c r="C69" s="421"/>
      <c r="D69" s="422"/>
      <c r="E69" s="422"/>
      <c r="F69" s="422"/>
      <c r="G69" s="422"/>
      <c r="H69" s="422"/>
      <c r="I69" s="422"/>
      <c r="J69" s="422"/>
      <c r="K69" s="422"/>
      <c r="L69" s="423"/>
      <c r="M69" s="423"/>
      <c r="N69" s="423"/>
      <c r="O69" s="423"/>
      <c r="P69" s="423"/>
      <c r="Q69" s="423"/>
      <c r="R69" s="424"/>
      <c r="S69" s="290"/>
      <c r="T69" s="3"/>
      <c r="U69" s="92"/>
      <c r="V69" s="92"/>
      <c r="W69" s="92"/>
      <c r="X69" s="92"/>
      <c r="Y69" s="92"/>
      <c r="Z69" s="92"/>
      <c r="AA69" s="92"/>
      <c r="AB69" s="92"/>
      <c r="AC69" s="92"/>
    </row>
    <row r="70" spans="1:31" ht="39" customHeight="1" x14ac:dyDescent="0.15">
      <c r="A70" s="3"/>
      <c r="B70" s="259"/>
      <c r="C70" s="425"/>
      <c r="D70" s="802" t="s">
        <v>170</v>
      </c>
      <c r="E70" s="803"/>
      <c r="F70" s="804"/>
      <c r="G70" s="205">
        <f>IF(SUMPRODUCT(--ISNUMBER(SEARCH(Dropdowns!H33:H35,Effektmåling!D71)))+SUMPRODUCT(--ISNUMBER(SEARCH(Dropdowns!H33:H35,Effektmåling!D72)))+SUMPRODUCT(--ISNUMBER(SEARCH(Dropdowns!H33:H35,Effektmåling!D73)))+SUMPRODUCT(--ISNUMBER(SEARCH(Dropdowns!H33:H35,Effektmåling!D74)))+SUMPRODUCT(--ISNUMBER(SEARCH(Dropdowns!H33:H35,Effektmåling!D75))),"Tast % biobr, fx 5",0)</f>
        <v>0</v>
      </c>
      <c r="H70" s="486" t="s">
        <v>171</v>
      </c>
      <c r="I70" s="532" t="s">
        <v>599</v>
      </c>
      <c r="J70" s="871" t="s">
        <v>600</v>
      </c>
      <c r="K70" s="872"/>
      <c r="L70" s="773" t="s">
        <v>172</v>
      </c>
      <c r="M70" s="669"/>
      <c r="N70" s="694" t="s">
        <v>163</v>
      </c>
      <c r="O70" s="695"/>
      <c r="P70" s="875" t="s">
        <v>173</v>
      </c>
      <c r="Q70" s="876"/>
      <c r="R70" s="432"/>
      <c r="S70" s="264"/>
      <c r="T70" s="3"/>
      <c r="U70" s="92"/>
      <c r="V70" s="92"/>
      <c r="W70" s="92"/>
      <c r="X70" s="92"/>
      <c r="Y70" s="92"/>
      <c r="Z70" s="92"/>
      <c r="AA70" s="92"/>
      <c r="AB70" s="92"/>
      <c r="AC70" s="92"/>
    </row>
    <row r="71" spans="1:31" ht="11.25" customHeight="1" x14ac:dyDescent="0.15">
      <c r="A71" s="3"/>
      <c r="B71" s="259"/>
      <c r="C71" s="426"/>
      <c r="D71" s="672" t="s">
        <v>145</v>
      </c>
      <c r="E71" s="673"/>
      <c r="F71" s="674"/>
      <c r="G71" s="571">
        <v>0</v>
      </c>
      <c r="H71" s="472"/>
      <c r="I71" s="568"/>
      <c r="J71" s="873">
        <f>IF($G$70&gt;0,(1-G71%)*(H71-I71),H71-I71)</f>
        <v>0</v>
      </c>
      <c r="K71" s="874"/>
      <c r="L71" s="776">
        <f>IF($D71="(Blank)",0,VLOOKUP($D71,'DB energi'!$B$6:$S$37,15,FALSE))</f>
        <v>0</v>
      </c>
      <c r="M71" s="777"/>
      <c r="N71" s="755">
        <f>IF($D71="(Blank)",0,VLOOKUP($D71,'DB energi'!$B$6:$S$37,17,FALSE))</f>
        <v>0</v>
      </c>
      <c r="O71" s="756"/>
      <c r="P71" s="838">
        <f>IF($D71="(Blank)",0,VLOOKUP($D71,'DB energi'!$AE$6:$AI$37,5,FALSE)*$I71)</f>
        <v>0</v>
      </c>
      <c r="Q71" s="839"/>
      <c r="R71" s="433"/>
      <c r="S71" s="291"/>
      <c r="T71" s="3"/>
      <c r="U71" s="92"/>
      <c r="V71" s="92"/>
      <c r="W71" s="92"/>
      <c r="X71" s="92"/>
      <c r="Y71" s="92"/>
      <c r="Z71" s="92"/>
      <c r="AA71" s="92"/>
      <c r="AB71" s="92"/>
      <c r="AC71" s="92"/>
    </row>
    <row r="72" spans="1:31" ht="11.25" customHeight="1" x14ac:dyDescent="0.15">
      <c r="A72" s="3"/>
      <c r="B72" s="259"/>
      <c r="C72" s="426"/>
      <c r="D72" s="672" t="s">
        <v>145</v>
      </c>
      <c r="E72" s="673"/>
      <c r="F72" s="674"/>
      <c r="G72" s="571"/>
      <c r="H72" s="472"/>
      <c r="I72" s="568"/>
      <c r="J72" s="873">
        <f>IF($G$70&gt;0,(1-G72%)*(H72-I72),H72-I72)</f>
        <v>0</v>
      </c>
      <c r="K72" s="874"/>
      <c r="L72" s="776">
        <f>IF($D72="(Blank)",0,VLOOKUP($D72,'DB energi'!$B$6:$S$37,15,FALSE))</f>
        <v>0</v>
      </c>
      <c r="M72" s="777"/>
      <c r="N72" s="755">
        <f>IF($D72="(Blank)",0,VLOOKUP($D72,'DB energi'!$B$6:$S$37,17,FALSE))</f>
        <v>0</v>
      </c>
      <c r="O72" s="756"/>
      <c r="P72" s="838">
        <f>IF($D72="(Blank)",0,VLOOKUP($D72,'DB energi'!$AE$6:$AI$37,5,FALSE)*$I72)</f>
        <v>0</v>
      </c>
      <c r="Q72" s="839"/>
      <c r="R72" s="433"/>
      <c r="S72" s="291"/>
      <c r="T72" s="3"/>
      <c r="U72" s="92"/>
      <c r="V72" s="92"/>
      <c r="W72" s="92"/>
      <c r="X72" s="92"/>
      <c r="Y72" s="92"/>
      <c r="Z72" s="92"/>
      <c r="AA72" s="92"/>
      <c r="AB72" s="92"/>
      <c r="AC72" s="92"/>
    </row>
    <row r="73" spans="1:31" x14ac:dyDescent="0.15">
      <c r="A73" s="3"/>
      <c r="B73" s="259"/>
      <c r="C73" s="426"/>
      <c r="D73" s="672" t="s">
        <v>145</v>
      </c>
      <c r="E73" s="673"/>
      <c r="F73" s="674"/>
      <c r="G73" s="571"/>
      <c r="H73" s="533"/>
      <c r="I73" s="569"/>
      <c r="J73" s="836">
        <f>IF($G$70&gt;0,(1-G73%)*(H73-I73),H73-I73)</f>
        <v>0</v>
      </c>
      <c r="K73" s="837"/>
      <c r="L73" s="776">
        <f>IF($D73="(Blank)",0,VLOOKUP($D73,'DB energi'!$B$6:$S$37,15,FALSE))</f>
        <v>0</v>
      </c>
      <c r="M73" s="777"/>
      <c r="N73" s="755">
        <f>IF($D73="(Blank)",0,VLOOKUP($D73,'DB energi'!$B$6:$S$37,17,FALSE))</f>
        <v>0</v>
      </c>
      <c r="O73" s="756"/>
      <c r="P73" s="838">
        <f>IF($D73="(Blank)",0,VLOOKUP($D73,'DB energi'!$AE$6:$AI$37,5,FALSE)*$I73)</f>
        <v>0</v>
      </c>
      <c r="Q73" s="839"/>
      <c r="R73" s="433"/>
      <c r="S73" s="291"/>
      <c r="T73" s="3"/>
      <c r="U73" s="92"/>
      <c r="V73" s="92"/>
      <c r="W73" s="92"/>
      <c r="X73" s="92"/>
      <c r="Y73" s="92"/>
      <c r="Z73" s="92"/>
      <c r="AA73" s="92"/>
      <c r="AB73" s="92"/>
      <c r="AC73" s="92"/>
    </row>
    <row r="74" spans="1:31" x14ac:dyDescent="0.15">
      <c r="A74" s="3"/>
      <c r="B74" s="259"/>
      <c r="C74" s="426"/>
      <c r="D74" s="672" t="s">
        <v>145</v>
      </c>
      <c r="E74" s="673"/>
      <c r="F74" s="674"/>
      <c r="G74" s="571"/>
      <c r="H74" s="533"/>
      <c r="I74" s="569"/>
      <c r="J74" s="836">
        <f>IF($G$70&gt;0,(1-G74%)*(H74-I74),H74-I74)</f>
        <v>0</v>
      </c>
      <c r="K74" s="837"/>
      <c r="L74" s="776">
        <f>IF($D74="(Blank)",0,VLOOKUP($D74,'DB energi'!$B$6:$S$37,15,FALSE))</f>
        <v>0</v>
      </c>
      <c r="M74" s="777"/>
      <c r="N74" s="755">
        <f>IF($D74="(Blank)",0,VLOOKUP($D74,'DB energi'!$B$6:$S$37,17,FALSE))</f>
        <v>0</v>
      </c>
      <c r="O74" s="756"/>
      <c r="P74" s="838">
        <f>IF($D74="(Blank)",0,VLOOKUP($D74,'DB energi'!$AE$6:$AI$37,5,FALSE)*$I74)</f>
        <v>0</v>
      </c>
      <c r="Q74" s="839"/>
      <c r="R74" s="433"/>
      <c r="S74" s="291"/>
      <c r="T74" s="3"/>
      <c r="U74" s="92"/>
      <c r="V74" s="92"/>
      <c r="W74" s="92"/>
      <c r="X74" s="92"/>
      <c r="Y74" s="92"/>
      <c r="Z74" s="92"/>
      <c r="AA74" s="92"/>
      <c r="AB74" s="92"/>
      <c r="AC74" s="92"/>
      <c r="AD74" s="92"/>
      <c r="AE74" s="92"/>
    </row>
    <row r="75" spans="1:31" x14ac:dyDescent="0.15">
      <c r="A75" s="3"/>
      <c r="B75" s="259"/>
      <c r="C75" s="426"/>
      <c r="D75" s="672" t="s">
        <v>145</v>
      </c>
      <c r="E75" s="673"/>
      <c r="F75" s="674"/>
      <c r="G75" s="571"/>
      <c r="H75" s="533"/>
      <c r="I75" s="569"/>
      <c r="J75" s="836">
        <f t="shared" ref="J75" si="1">IF($G$70&gt;0,(1-G75%)*(H75-I75),H75-I75)</f>
        <v>0</v>
      </c>
      <c r="K75" s="837"/>
      <c r="L75" s="776">
        <f>IF($D75="(Blank)",0,VLOOKUP($D75,'DB energi'!$B$6:$S$37,15,FALSE))</f>
        <v>0</v>
      </c>
      <c r="M75" s="777"/>
      <c r="N75" s="755">
        <f>IF($D75="(Blank)",0,VLOOKUP($D75,'DB energi'!$B$6:$S$37,17,FALSE))</f>
        <v>0</v>
      </c>
      <c r="O75" s="756"/>
      <c r="P75" s="838">
        <f>IF($D75="(Blank)",0,VLOOKUP($D75,'DB energi'!$AE$6:$AI$37,5,FALSE)*$I75)</f>
        <v>0</v>
      </c>
      <c r="Q75" s="839"/>
      <c r="R75" s="433"/>
      <c r="S75" s="291"/>
      <c r="T75" s="3"/>
      <c r="U75" s="92"/>
      <c r="V75" s="92"/>
      <c r="W75" s="92"/>
      <c r="X75" s="92"/>
      <c r="Y75" s="92"/>
      <c r="Z75" s="92"/>
      <c r="AA75" s="92"/>
      <c r="AB75" s="92"/>
      <c r="AC75" s="92"/>
      <c r="AD75" s="92"/>
      <c r="AE75" s="92"/>
    </row>
    <row r="76" spans="1:31" ht="11.25" customHeight="1" x14ac:dyDescent="0.15">
      <c r="A76" s="3"/>
      <c r="B76" s="259"/>
      <c r="C76" s="426"/>
      <c r="D76" s="706" t="s">
        <v>164</v>
      </c>
      <c r="E76" s="707"/>
      <c r="F76" s="708"/>
      <c r="G76" s="712"/>
      <c r="H76" s="713"/>
      <c r="I76" s="713"/>
      <c r="J76" s="713"/>
      <c r="K76" s="714"/>
      <c r="L76" s="720">
        <f ca="1">'DB energi'!P38</f>
        <v>0</v>
      </c>
      <c r="M76" s="721"/>
      <c r="N76" s="686">
        <f ca="1">'DB energi'!R38</f>
        <v>0</v>
      </c>
      <c r="O76" s="835"/>
      <c r="P76" s="827">
        <f>SUM(P71:P75)</f>
        <v>0</v>
      </c>
      <c r="Q76" s="828"/>
      <c r="R76" s="434"/>
      <c r="S76" s="292"/>
      <c r="T76" s="3"/>
      <c r="U76" s="92"/>
      <c r="V76" s="92"/>
      <c r="W76" s="92"/>
      <c r="X76" s="92"/>
      <c r="Y76" s="92"/>
      <c r="Z76" s="92"/>
      <c r="AA76" s="92"/>
      <c r="AB76" s="92"/>
      <c r="AC76" s="92"/>
      <c r="AD76" s="92"/>
      <c r="AE76" s="92"/>
    </row>
    <row r="77" spans="1:31" ht="11.25" customHeight="1" x14ac:dyDescent="0.15">
      <c r="A77" s="3"/>
      <c r="B77" s="259"/>
      <c r="C77" s="426"/>
      <c r="D77" s="793"/>
      <c r="E77" s="794"/>
      <c r="F77" s="795"/>
      <c r="G77" s="831"/>
      <c r="H77" s="832"/>
      <c r="I77" s="832"/>
      <c r="J77" s="832"/>
      <c r="K77" s="833"/>
      <c r="L77" s="763" t="s">
        <v>166</v>
      </c>
      <c r="M77" s="764"/>
      <c r="N77" s="791" t="s">
        <v>167</v>
      </c>
      <c r="O77" s="792"/>
      <c r="P77" s="829" t="s">
        <v>21</v>
      </c>
      <c r="Q77" s="830"/>
      <c r="R77" s="434"/>
      <c r="S77" s="292"/>
      <c r="T77" s="3"/>
      <c r="U77" s="92"/>
      <c r="V77" s="92"/>
      <c r="W77" s="92"/>
      <c r="X77" s="92"/>
      <c r="Y77" s="92"/>
      <c r="Z77" s="92"/>
      <c r="AA77" s="92"/>
      <c r="AB77" s="92"/>
      <c r="AC77" s="92"/>
      <c r="AD77" s="92"/>
      <c r="AE77" s="92"/>
    </row>
    <row r="78" spans="1:31" x14ac:dyDescent="0.15">
      <c r="A78" s="3"/>
      <c r="B78" s="259"/>
      <c r="C78" s="427"/>
      <c r="D78" s="428"/>
      <c r="E78" s="428"/>
      <c r="F78" s="428"/>
      <c r="G78" s="429"/>
      <c r="H78" s="429"/>
      <c r="I78" s="429"/>
      <c r="J78" s="429"/>
      <c r="K78" s="429"/>
      <c r="L78" s="430"/>
      <c r="M78" s="430"/>
      <c r="N78" s="430"/>
      <c r="O78" s="430"/>
      <c r="P78" s="430"/>
      <c r="Q78" s="430"/>
      <c r="R78" s="431"/>
      <c r="S78" s="293"/>
      <c r="T78" s="3"/>
      <c r="U78" s="92"/>
      <c r="V78" s="92"/>
      <c r="W78" s="92"/>
      <c r="X78" s="92"/>
      <c r="Y78" s="92"/>
      <c r="Z78" s="92"/>
      <c r="AA78" s="92"/>
      <c r="AB78" s="92"/>
      <c r="AC78" s="92"/>
      <c r="AD78" s="92"/>
      <c r="AE78" s="92"/>
    </row>
    <row r="79" spans="1:31" x14ac:dyDescent="0.15">
      <c r="A79" s="3"/>
      <c r="B79" s="259"/>
      <c r="C79" s="757" t="str">
        <f ca="1">IF((SUMIF(D71:E75,"(blank)",J71:J75)=0),"","Der er indberettet en besparelse af en ikke-defineret energikilde.")</f>
        <v/>
      </c>
      <c r="D79" s="758"/>
      <c r="E79" s="758"/>
      <c r="F79" s="758"/>
      <c r="G79" s="758"/>
      <c r="H79" s="758"/>
      <c r="I79" s="758"/>
      <c r="J79" s="758"/>
      <c r="K79" s="758"/>
      <c r="L79" s="758"/>
      <c r="M79" s="758"/>
      <c r="N79" s="758"/>
      <c r="O79" s="758"/>
      <c r="P79" s="758"/>
      <c r="Q79" s="758"/>
      <c r="R79" s="759"/>
      <c r="S79" s="294"/>
      <c r="T79" s="3"/>
      <c r="U79" s="92"/>
      <c r="V79" s="92"/>
      <c r="W79" s="92"/>
      <c r="X79" s="92"/>
      <c r="Y79" s="92"/>
      <c r="Z79" s="92"/>
      <c r="AA79" s="92"/>
      <c r="AB79" s="92"/>
      <c r="AC79" s="92"/>
      <c r="AD79" s="92"/>
      <c r="AE79" s="92"/>
    </row>
    <row r="80" spans="1:31" x14ac:dyDescent="0.15">
      <c r="A80" s="3"/>
      <c r="B80" s="259"/>
      <c r="C80" s="760"/>
      <c r="D80" s="761"/>
      <c r="E80" s="761"/>
      <c r="F80" s="761"/>
      <c r="G80" s="761"/>
      <c r="H80" s="761"/>
      <c r="I80" s="761"/>
      <c r="J80" s="761"/>
      <c r="K80" s="761"/>
      <c r="L80" s="761"/>
      <c r="M80" s="761"/>
      <c r="N80" s="761"/>
      <c r="O80" s="761"/>
      <c r="P80" s="761"/>
      <c r="Q80" s="761"/>
      <c r="R80" s="762"/>
      <c r="S80" s="294"/>
      <c r="T80" s="3"/>
      <c r="U80" s="92"/>
      <c r="V80" s="92"/>
      <c r="W80" s="92"/>
      <c r="X80" s="92"/>
      <c r="Y80" s="92"/>
      <c r="Z80" s="92"/>
      <c r="AA80" s="92"/>
      <c r="AB80" s="92"/>
      <c r="AC80" s="92"/>
      <c r="AD80" s="92"/>
      <c r="AE80" s="92"/>
    </row>
    <row r="81" spans="1:31" x14ac:dyDescent="0.15">
      <c r="A81" s="3"/>
      <c r="B81" s="259"/>
      <c r="C81" s="259"/>
      <c r="D81" s="259"/>
      <c r="E81" s="259"/>
      <c r="F81" s="259"/>
      <c r="G81" s="259"/>
      <c r="H81" s="259"/>
      <c r="I81" s="259"/>
      <c r="J81" s="259"/>
      <c r="K81" s="259"/>
      <c r="L81" s="261"/>
      <c r="M81" s="261"/>
      <c r="N81" s="261"/>
      <c r="O81" s="261"/>
      <c r="P81" s="261"/>
      <c r="Q81" s="261"/>
      <c r="R81" s="261"/>
      <c r="S81" s="261"/>
      <c r="T81" s="3"/>
      <c r="U81" s="92"/>
      <c r="V81" s="92"/>
      <c r="W81" s="92"/>
      <c r="X81" s="92"/>
      <c r="Y81" s="92"/>
      <c r="Z81" s="92"/>
      <c r="AA81" s="92"/>
      <c r="AB81" s="92"/>
      <c r="AC81" s="92"/>
      <c r="AD81" s="92"/>
      <c r="AE81" s="92"/>
    </row>
    <row r="82" spans="1:31" ht="11.25" customHeight="1" x14ac:dyDescent="0.15">
      <c r="A82" s="3"/>
      <c r="B82" s="259"/>
      <c r="C82" s="295" t="s">
        <v>174</v>
      </c>
      <c r="D82" s="295"/>
      <c r="E82" s="295"/>
      <c r="F82" s="295"/>
      <c r="G82" s="295"/>
      <c r="H82" s="295"/>
      <c r="I82" s="295"/>
      <c r="J82" s="295"/>
      <c r="K82" s="296"/>
      <c r="L82" s="295"/>
      <c r="M82" s="295"/>
      <c r="N82" s="253"/>
      <c r="O82" s="261"/>
      <c r="P82" s="261"/>
      <c r="Q82" s="261"/>
      <c r="R82" s="261"/>
      <c r="S82" s="261"/>
      <c r="T82" s="3"/>
      <c r="U82" s="92"/>
      <c r="V82" s="92"/>
      <c r="W82" s="92"/>
      <c r="X82" s="92"/>
      <c r="Y82" s="92"/>
      <c r="Z82" s="92"/>
      <c r="AA82" s="92"/>
      <c r="AB82" s="92"/>
      <c r="AC82" s="92"/>
      <c r="AD82" s="92"/>
      <c r="AE82" s="92"/>
    </row>
    <row r="83" spans="1:31" ht="16.5" customHeight="1" x14ac:dyDescent="0.15">
      <c r="A83" s="3"/>
      <c r="B83" s="259"/>
      <c r="C83" s="886" t="s">
        <v>175</v>
      </c>
      <c r="D83" s="886"/>
      <c r="E83" s="886"/>
      <c r="F83" s="886"/>
      <c r="G83" s="886"/>
      <c r="H83" s="886"/>
      <c r="I83" s="886"/>
      <c r="J83" s="886"/>
      <c r="K83" s="886"/>
      <c r="L83" s="886"/>
      <c r="M83" s="886"/>
      <c r="N83" s="886"/>
      <c r="O83" s="886"/>
      <c r="P83" s="886"/>
      <c r="Q83" s="886"/>
      <c r="R83" s="886"/>
      <c r="S83" s="886"/>
      <c r="T83" s="3"/>
      <c r="U83" s="92"/>
      <c r="V83" s="92"/>
      <c r="W83" s="92"/>
      <c r="X83" s="92"/>
      <c r="Y83" s="92"/>
      <c r="Z83" s="92"/>
      <c r="AA83" s="92"/>
      <c r="AB83" s="92"/>
      <c r="AC83" s="92"/>
      <c r="AD83" s="92"/>
      <c r="AE83" s="92"/>
    </row>
    <row r="84" spans="1:31" ht="11.25" customHeight="1" x14ac:dyDescent="0.15">
      <c r="A84" s="3"/>
      <c r="B84" s="259"/>
      <c r="C84" s="460"/>
      <c r="D84" s="460"/>
      <c r="E84" s="260"/>
      <c r="F84" s="260"/>
      <c r="G84" s="260"/>
      <c r="H84" s="260"/>
      <c r="I84" s="260"/>
      <c r="J84" s="260"/>
      <c r="K84" s="260"/>
      <c r="L84" s="260"/>
      <c r="M84" s="260"/>
      <c r="N84" s="253"/>
      <c r="O84" s="261"/>
      <c r="P84" s="261"/>
      <c r="Q84" s="261"/>
      <c r="R84" s="261"/>
      <c r="S84" s="261"/>
      <c r="T84" s="3"/>
      <c r="U84" s="92"/>
      <c r="V84" s="92"/>
      <c r="W84" s="92"/>
      <c r="X84" s="92"/>
      <c r="Y84" s="92"/>
      <c r="Z84" s="92"/>
      <c r="AA84" s="92"/>
      <c r="AB84" s="92"/>
      <c r="AC84" s="92"/>
      <c r="AD84" s="92"/>
      <c r="AE84" s="92"/>
    </row>
    <row r="85" spans="1:31" ht="11.25" customHeight="1" x14ac:dyDescent="0.15">
      <c r="A85" s="3"/>
      <c r="B85" s="259"/>
      <c r="C85" s="438"/>
      <c r="D85" s="439"/>
      <c r="E85" s="439"/>
      <c r="F85" s="439"/>
      <c r="G85" s="439"/>
      <c r="H85" s="439"/>
      <c r="I85" s="439"/>
      <c r="J85" s="439"/>
      <c r="K85" s="439"/>
      <c r="L85" s="435"/>
      <c r="M85" s="435"/>
      <c r="N85" s="435"/>
      <c r="O85" s="256"/>
      <c r="P85" s="253"/>
      <c r="Q85" s="253"/>
      <c r="R85" s="253"/>
      <c r="S85" s="253"/>
      <c r="T85" s="3"/>
      <c r="U85" s="92"/>
      <c r="V85" s="92"/>
      <c r="W85" s="92"/>
      <c r="X85" s="92"/>
      <c r="Y85" s="92"/>
      <c r="Z85" s="92"/>
      <c r="AA85" s="92"/>
      <c r="AB85" s="92"/>
      <c r="AC85" s="92"/>
      <c r="AD85" s="92"/>
      <c r="AE85" s="92"/>
    </row>
    <row r="86" spans="1:31" ht="27.75" customHeight="1" x14ac:dyDescent="0.15">
      <c r="A86" s="3"/>
      <c r="B86" s="259"/>
      <c r="C86" s="440"/>
      <c r="D86" s="675" t="s">
        <v>176</v>
      </c>
      <c r="E86" s="676"/>
      <c r="F86" s="676"/>
      <c r="G86" s="677"/>
      <c r="H86" s="497" t="s">
        <v>177</v>
      </c>
      <c r="I86" s="496" t="s">
        <v>161</v>
      </c>
      <c r="J86" s="823" t="s">
        <v>160</v>
      </c>
      <c r="K86" s="824"/>
      <c r="L86" s="773" t="s">
        <v>162</v>
      </c>
      <c r="M86" s="669"/>
      <c r="N86" s="436"/>
      <c r="O86" s="253"/>
      <c r="P86" s="253"/>
      <c r="Q86" s="253"/>
      <c r="R86" s="253"/>
      <c r="S86" s="253"/>
      <c r="T86" s="3"/>
      <c r="U86" s="92"/>
      <c r="V86" s="92"/>
      <c r="W86" s="92"/>
      <c r="X86" s="92"/>
      <c r="Y86" s="92"/>
      <c r="Z86" s="92"/>
      <c r="AA86" s="92"/>
      <c r="AB86" s="92"/>
      <c r="AC86" s="92"/>
      <c r="AD86" s="92"/>
      <c r="AE86" s="92"/>
    </row>
    <row r="87" spans="1:31" ht="11.25" customHeight="1" x14ac:dyDescent="0.15">
      <c r="A87" s="3"/>
      <c r="B87" s="259"/>
      <c r="C87" s="440"/>
      <c r="D87" s="778" t="str">
        <f>'Processrelaterede udledninger'!F2</f>
        <v>Kuldioxid (CO2)</v>
      </c>
      <c r="E87" s="779"/>
      <c r="F87" s="779"/>
      <c r="G87" s="780"/>
      <c r="H87" s="504"/>
      <c r="I87" s="505"/>
      <c r="J87" s="781">
        <f t="shared" ref="J87:J110" si="2">H87-I87</f>
        <v>0</v>
      </c>
      <c r="K87" s="782"/>
      <c r="L87" s="776">
        <f>I87*'Processrelaterede udledninger'!G2</f>
        <v>0</v>
      </c>
      <c r="M87" s="777"/>
      <c r="N87" s="436"/>
      <c r="O87" s="253"/>
      <c r="P87" s="253"/>
      <c r="Q87" s="253"/>
      <c r="R87" s="253"/>
      <c r="S87" s="253"/>
      <c r="T87" s="3"/>
      <c r="U87" s="92"/>
      <c r="V87" s="92"/>
      <c r="W87" s="92"/>
      <c r="X87" s="92"/>
      <c r="Y87" s="92"/>
      <c r="Z87" s="92"/>
      <c r="AA87" s="92"/>
      <c r="AB87" s="92"/>
      <c r="AC87" s="92"/>
      <c r="AD87" s="92"/>
      <c r="AE87" s="92"/>
    </row>
    <row r="88" spans="1:31" ht="11.25" customHeight="1" x14ac:dyDescent="0.15">
      <c r="A88" s="3"/>
      <c r="B88" s="259"/>
      <c r="C88" s="440"/>
      <c r="D88" s="778" t="str">
        <f>'Processrelaterede udledninger'!F3</f>
        <v>Metan (CH4)</v>
      </c>
      <c r="E88" s="779"/>
      <c r="F88" s="779"/>
      <c r="G88" s="780"/>
      <c r="H88" s="504"/>
      <c r="I88" s="505"/>
      <c r="J88" s="781">
        <f t="shared" si="2"/>
        <v>0</v>
      </c>
      <c r="K88" s="782"/>
      <c r="L88" s="776">
        <f>I88*'Processrelaterede udledninger'!G3</f>
        <v>0</v>
      </c>
      <c r="M88" s="777"/>
      <c r="N88" s="436"/>
      <c r="O88" s="253"/>
      <c r="P88" s="253"/>
      <c r="Q88" s="253"/>
      <c r="R88" s="253"/>
      <c r="S88" s="253"/>
      <c r="T88" s="3"/>
      <c r="U88" s="92"/>
      <c r="V88" s="92"/>
      <c r="W88" s="92"/>
      <c r="X88" s="92"/>
      <c r="Y88" s="92"/>
      <c r="Z88" s="92"/>
      <c r="AA88" s="92"/>
      <c r="AB88" s="92"/>
      <c r="AC88" s="92"/>
      <c r="AD88" s="92"/>
      <c r="AE88" s="92"/>
    </row>
    <row r="89" spans="1:31" ht="11.25" customHeight="1" x14ac:dyDescent="0.15">
      <c r="A89" s="3"/>
      <c r="B89" s="259"/>
      <c r="C89" s="440"/>
      <c r="D89" s="778" t="str">
        <f>'Processrelaterede udledninger'!F4</f>
        <v>Lattergas (N2O)</v>
      </c>
      <c r="E89" s="779"/>
      <c r="F89" s="779"/>
      <c r="G89" s="780"/>
      <c r="H89" s="504"/>
      <c r="I89" s="505"/>
      <c r="J89" s="781">
        <f t="shared" si="2"/>
        <v>0</v>
      </c>
      <c r="K89" s="782"/>
      <c r="L89" s="776">
        <f>I89*'Processrelaterede udledninger'!G4</f>
        <v>0</v>
      </c>
      <c r="M89" s="777"/>
      <c r="N89" s="436"/>
      <c r="O89" s="253"/>
      <c r="P89" s="253"/>
      <c r="Q89" s="253"/>
      <c r="R89" s="253"/>
      <c r="S89" s="253"/>
      <c r="T89" s="3"/>
      <c r="U89" s="92"/>
      <c r="V89" s="92"/>
      <c r="W89" s="92"/>
      <c r="X89" s="92"/>
      <c r="Y89" s="92"/>
      <c r="Z89" s="92"/>
      <c r="AA89" s="92"/>
      <c r="AB89" s="92"/>
      <c r="AC89" s="92"/>
      <c r="AD89" s="92"/>
      <c r="AE89" s="92"/>
    </row>
    <row r="90" spans="1:31" ht="11.25" customHeight="1" x14ac:dyDescent="0.15">
      <c r="A90" s="3"/>
      <c r="B90" s="259"/>
      <c r="C90" s="440"/>
      <c r="D90" s="778" t="str">
        <f>'Processrelaterede udledninger'!F5</f>
        <v>HCF-23 (CHF3)</v>
      </c>
      <c r="E90" s="779"/>
      <c r="F90" s="779"/>
      <c r="G90" s="780"/>
      <c r="H90" s="504"/>
      <c r="I90" s="505"/>
      <c r="J90" s="781">
        <f t="shared" si="2"/>
        <v>0</v>
      </c>
      <c r="K90" s="782"/>
      <c r="L90" s="776">
        <f>I90*'Processrelaterede udledninger'!G5</f>
        <v>0</v>
      </c>
      <c r="M90" s="777"/>
      <c r="N90" s="436"/>
      <c r="O90" s="253"/>
      <c r="P90" s="253"/>
      <c r="Q90" s="253"/>
      <c r="R90" s="253"/>
      <c r="S90" s="253"/>
      <c r="T90" s="3"/>
      <c r="U90" s="92"/>
      <c r="V90" s="92"/>
      <c r="W90" s="92"/>
      <c r="X90" s="92"/>
      <c r="Y90" s="92"/>
      <c r="Z90" s="92"/>
      <c r="AA90" s="92"/>
      <c r="AB90" s="92"/>
      <c r="AC90" s="92"/>
      <c r="AD90" s="92"/>
      <c r="AE90" s="92"/>
    </row>
    <row r="91" spans="1:31" ht="11.25" customHeight="1" x14ac:dyDescent="0.15">
      <c r="A91" s="3"/>
      <c r="B91" s="259"/>
      <c r="C91" s="440"/>
      <c r="D91" s="778" t="str">
        <f>'Processrelaterede udledninger'!F6</f>
        <v>HCF-32 (CH2F2)</v>
      </c>
      <c r="E91" s="779"/>
      <c r="F91" s="779"/>
      <c r="G91" s="780"/>
      <c r="H91" s="504"/>
      <c r="I91" s="505"/>
      <c r="J91" s="781">
        <f t="shared" si="2"/>
        <v>0</v>
      </c>
      <c r="K91" s="782"/>
      <c r="L91" s="776">
        <f>I91*'Processrelaterede udledninger'!G6</f>
        <v>0</v>
      </c>
      <c r="M91" s="777"/>
      <c r="N91" s="436"/>
      <c r="O91" s="253"/>
      <c r="P91" s="253"/>
      <c r="Q91" s="253"/>
      <c r="R91" s="253"/>
      <c r="S91" s="253"/>
      <c r="T91" s="3"/>
      <c r="U91" s="92"/>
      <c r="V91" s="92"/>
      <c r="W91" s="92"/>
      <c r="X91" s="92"/>
      <c r="Y91" s="92"/>
      <c r="Z91" s="92"/>
      <c r="AA91" s="92"/>
      <c r="AB91" s="92"/>
      <c r="AC91" s="92"/>
      <c r="AD91" s="92"/>
      <c r="AE91" s="92"/>
    </row>
    <row r="92" spans="1:31" ht="11.25" customHeight="1" x14ac:dyDescent="0.15">
      <c r="A92" s="3"/>
      <c r="B92" s="259"/>
      <c r="C92" s="440"/>
      <c r="D92" s="778" t="str">
        <f>'Processrelaterede udledninger'!F7</f>
        <v>HCF-41 (CH3F)</v>
      </c>
      <c r="E92" s="779"/>
      <c r="F92" s="779"/>
      <c r="G92" s="780"/>
      <c r="H92" s="504"/>
      <c r="I92" s="505"/>
      <c r="J92" s="781">
        <f t="shared" si="2"/>
        <v>0</v>
      </c>
      <c r="K92" s="782"/>
      <c r="L92" s="776">
        <f>I92*'Processrelaterede udledninger'!G7</f>
        <v>0</v>
      </c>
      <c r="M92" s="777"/>
      <c r="N92" s="436"/>
      <c r="O92" s="253"/>
      <c r="P92" s="253"/>
      <c r="Q92" s="253"/>
      <c r="R92" s="253"/>
      <c r="S92" s="253"/>
      <c r="T92" s="3"/>
      <c r="U92" s="92"/>
      <c r="V92" s="92"/>
      <c r="W92" s="92"/>
      <c r="X92" s="92"/>
      <c r="Y92" s="92"/>
      <c r="Z92" s="92"/>
      <c r="AA92" s="92"/>
      <c r="AB92" s="92"/>
      <c r="AC92" s="92"/>
      <c r="AD92" s="92"/>
      <c r="AE92" s="92"/>
    </row>
    <row r="93" spans="1:31" ht="11.25" customHeight="1" x14ac:dyDescent="0.15">
      <c r="A93" s="3"/>
      <c r="B93" s="259"/>
      <c r="C93" s="440"/>
      <c r="D93" s="778" t="str">
        <f>'Processrelaterede udledninger'!F8</f>
        <v>HCF-43-10mee (C5H2F10)</v>
      </c>
      <c r="E93" s="779"/>
      <c r="F93" s="779"/>
      <c r="G93" s="780"/>
      <c r="H93" s="504"/>
      <c r="I93" s="505"/>
      <c r="J93" s="781">
        <f t="shared" si="2"/>
        <v>0</v>
      </c>
      <c r="K93" s="782"/>
      <c r="L93" s="776">
        <f>I93*'Processrelaterede udledninger'!G8</f>
        <v>0</v>
      </c>
      <c r="M93" s="777"/>
      <c r="N93" s="436"/>
      <c r="O93" s="253"/>
      <c r="P93" s="253"/>
      <c r="Q93" s="253"/>
      <c r="R93" s="253"/>
      <c r="S93" s="253"/>
      <c r="T93" s="3"/>
      <c r="U93" s="92"/>
      <c r="V93" s="92"/>
      <c r="W93" s="92"/>
      <c r="X93" s="92"/>
      <c r="Y93" s="92"/>
      <c r="Z93" s="92"/>
      <c r="AA93" s="92"/>
      <c r="AB93" s="92"/>
      <c r="AC93" s="92"/>
      <c r="AD93" s="92"/>
      <c r="AE93" s="92"/>
    </row>
    <row r="94" spans="1:31" ht="11.25" customHeight="1" x14ac:dyDescent="0.15">
      <c r="A94" s="3"/>
      <c r="B94" s="259"/>
      <c r="C94" s="440"/>
      <c r="D94" s="778" t="str">
        <f>'Processrelaterede udledninger'!F9</f>
        <v>HCF-125 (C2HF5)</v>
      </c>
      <c r="E94" s="779"/>
      <c r="F94" s="779"/>
      <c r="G94" s="780"/>
      <c r="H94" s="504"/>
      <c r="I94" s="505"/>
      <c r="J94" s="781">
        <f t="shared" si="2"/>
        <v>0</v>
      </c>
      <c r="K94" s="782"/>
      <c r="L94" s="776">
        <f>I94*'Processrelaterede udledninger'!G9</f>
        <v>0</v>
      </c>
      <c r="M94" s="777"/>
      <c r="N94" s="436"/>
      <c r="O94" s="253"/>
      <c r="P94" s="253"/>
      <c r="Q94" s="253"/>
      <c r="R94" s="253"/>
      <c r="S94" s="253"/>
      <c r="T94" s="3"/>
      <c r="U94" s="92"/>
      <c r="V94" s="92"/>
      <c r="W94" s="92"/>
      <c r="X94" s="92"/>
      <c r="Y94" s="92"/>
      <c r="Z94" s="92"/>
      <c r="AA94" s="92"/>
      <c r="AB94" s="92"/>
      <c r="AC94" s="92"/>
      <c r="AD94" s="92"/>
      <c r="AE94" s="92"/>
    </row>
    <row r="95" spans="1:31" ht="11.25" customHeight="1" x14ac:dyDescent="0.15">
      <c r="A95" s="3"/>
      <c r="B95" s="259"/>
      <c r="C95" s="440"/>
      <c r="D95" s="778" t="str">
        <f>'Processrelaterede udledninger'!F10</f>
        <v>HCF-134 (C2H2F4)</v>
      </c>
      <c r="E95" s="779"/>
      <c r="F95" s="779"/>
      <c r="G95" s="780"/>
      <c r="H95" s="504"/>
      <c r="I95" s="505"/>
      <c r="J95" s="781">
        <f t="shared" si="2"/>
        <v>0</v>
      </c>
      <c r="K95" s="782"/>
      <c r="L95" s="776">
        <f>I95*'Processrelaterede udledninger'!G10</f>
        <v>0</v>
      </c>
      <c r="M95" s="777"/>
      <c r="N95" s="436"/>
      <c r="O95" s="253"/>
      <c r="P95" s="253"/>
      <c r="Q95" s="253"/>
      <c r="R95" s="253"/>
      <c r="S95" s="253"/>
      <c r="T95" s="3"/>
      <c r="U95" s="92"/>
      <c r="V95" s="92"/>
      <c r="W95" s="92"/>
      <c r="X95" s="92"/>
      <c r="Y95" s="92"/>
      <c r="Z95" s="92"/>
      <c r="AA95" s="92"/>
      <c r="AB95" s="92"/>
      <c r="AC95" s="92"/>
      <c r="AD95" s="92"/>
      <c r="AE95" s="92"/>
    </row>
    <row r="96" spans="1:31" ht="11.25" customHeight="1" x14ac:dyDescent="0.15">
      <c r="A96" s="3"/>
      <c r="B96" s="259"/>
      <c r="C96" s="440"/>
      <c r="D96" s="778" t="str">
        <f>'Processrelaterede udledninger'!F11</f>
        <v>HCF-134a (C2H2F4)</v>
      </c>
      <c r="E96" s="779"/>
      <c r="F96" s="779"/>
      <c r="G96" s="780"/>
      <c r="H96" s="504"/>
      <c r="I96" s="505"/>
      <c r="J96" s="781">
        <f t="shared" si="2"/>
        <v>0</v>
      </c>
      <c r="K96" s="782"/>
      <c r="L96" s="776">
        <f>I96*'Processrelaterede udledninger'!G11</f>
        <v>0</v>
      </c>
      <c r="M96" s="777"/>
      <c r="N96" s="436"/>
      <c r="O96" s="253"/>
      <c r="P96" s="253"/>
      <c r="Q96" s="253"/>
      <c r="R96" s="253"/>
      <c r="S96" s="253"/>
      <c r="T96" s="3"/>
      <c r="U96" s="92"/>
      <c r="V96" s="92"/>
      <c r="W96" s="92"/>
      <c r="X96" s="92"/>
      <c r="Y96" s="92"/>
      <c r="Z96" s="92"/>
      <c r="AA96" s="92"/>
      <c r="AB96" s="92"/>
      <c r="AC96" s="92"/>
      <c r="AD96" s="92"/>
      <c r="AE96" s="92"/>
    </row>
    <row r="97" spans="1:31" ht="11.25" customHeight="1" x14ac:dyDescent="0.15">
      <c r="A97" s="3"/>
      <c r="B97" s="259"/>
      <c r="C97" s="440"/>
      <c r="D97" s="778" t="str">
        <f>'Processrelaterede udledninger'!F12</f>
        <v>HCF-152a (C2H4F2)</v>
      </c>
      <c r="E97" s="779"/>
      <c r="F97" s="779"/>
      <c r="G97" s="780"/>
      <c r="H97" s="504"/>
      <c r="I97" s="505"/>
      <c r="J97" s="781">
        <f t="shared" si="2"/>
        <v>0</v>
      </c>
      <c r="K97" s="782"/>
      <c r="L97" s="776">
        <f>I97*'Processrelaterede udledninger'!G12</f>
        <v>0</v>
      </c>
      <c r="M97" s="777"/>
      <c r="N97" s="436"/>
      <c r="O97" s="253"/>
      <c r="P97" s="253"/>
      <c r="Q97" s="253"/>
      <c r="R97" s="253"/>
      <c r="S97" s="253"/>
      <c r="T97" s="3"/>
      <c r="U97" s="92"/>
      <c r="V97" s="92"/>
      <c r="W97" s="92"/>
      <c r="X97" s="92"/>
      <c r="Y97" s="92"/>
      <c r="Z97" s="92"/>
      <c r="AA97" s="92"/>
      <c r="AB97" s="92"/>
      <c r="AC97" s="92"/>
      <c r="AD97" s="92"/>
      <c r="AE97" s="92"/>
    </row>
    <row r="98" spans="1:31" ht="11.25" customHeight="1" x14ac:dyDescent="0.15">
      <c r="A98" s="3"/>
      <c r="B98" s="259"/>
      <c r="C98" s="440"/>
      <c r="D98" s="778" t="str">
        <f>'Processrelaterede udledninger'!F13</f>
        <v>HCF-143 (C2H3F3)</v>
      </c>
      <c r="E98" s="779"/>
      <c r="F98" s="779"/>
      <c r="G98" s="780"/>
      <c r="H98" s="504"/>
      <c r="I98" s="505"/>
      <c r="J98" s="781">
        <f t="shared" si="2"/>
        <v>0</v>
      </c>
      <c r="K98" s="782"/>
      <c r="L98" s="776">
        <f>I98*'Processrelaterede udledninger'!G13</f>
        <v>0</v>
      </c>
      <c r="M98" s="777"/>
      <c r="N98" s="436"/>
      <c r="O98" s="253"/>
      <c r="P98" s="253"/>
      <c r="Q98" s="253"/>
      <c r="R98" s="253"/>
      <c r="S98" s="253"/>
      <c r="T98" s="3"/>
      <c r="U98" s="92"/>
      <c r="V98" s="92"/>
      <c r="W98" s="92"/>
      <c r="X98" s="92"/>
      <c r="Y98" s="92"/>
      <c r="Z98" s="92"/>
      <c r="AA98" s="92"/>
      <c r="AB98" s="92"/>
      <c r="AC98" s="92"/>
      <c r="AD98" s="92"/>
      <c r="AE98" s="92"/>
    </row>
    <row r="99" spans="1:31" ht="11.25" customHeight="1" x14ac:dyDescent="0.15">
      <c r="A99" s="3"/>
      <c r="B99" s="259"/>
      <c r="C99" s="440"/>
      <c r="D99" s="778" t="str">
        <f>'Processrelaterede udledninger'!F14</f>
        <v>HCF-143a (C2H3F3)</v>
      </c>
      <c r="E99" s="779"/>
      <c r="F99" s="779"/>
      <c r="G99" s="780"/>
      <c r="H99" s="504"/>
      <c r="I99" s="505"/>
      <c r="J99" s="781">
        <f t="shared" si="2"/>
        <v>0</v>
      </c>
      <c r="K99" s="782"/>
      <c r="L99" s="776">
        <f>I99*'Processrelaterede udledninger'!G14</f>
        <v>0</v>
      </c>
      <c r="M99" s="777"/>
      <c r="N99" s="436"/>
      <c r="O99" s="253"/>
      <c r="P99" s="253"/>
      <c r="Q99" s="253"/>
      <c r="R99" s="253"/>
      <c r="S99" s="253"/>
      <c r="T99" s="3"/>
      <c r="U99" s="92"/>
      <c r="V99" s="92"/>
      <c r="W99" s="92"/>
      <c r="X99" s="92"/>
      <c r="Y99" s="92"/>
      <c r="Z99" s="92"/>
      <c r="AA99" s="92"/>
      <c r="AB99" s="92"/>
      <c r="AC99" s="92"/>
      <c r="AD99" s="92"/>
      <c r="AE99" s="92"/>
    </row>
    <row r="100" spans="1:31" ht="11.25" customHeight="1" x14ac:dyDescent="0.15">
      <c r="A100" s="3"/>
      <c r="B100" s="259"/>
      <c r="C100" s="440"/>
      <c r="D100" s="778" t="str">
        <f>'Processrelaterede udledninger'!F15</f>
        <v>HCF-227ea (C3HF7)</v>
      </c>
      <c r="E100" s="779"/>
      <c r="F100" s="779"/>
      <c r="G100" s="780"/>
      <c r="H100" s="504"/>
      <c r="I100" s="505"/>
      <c r="J100" s="781">
        <f t="shared" si="2"/>
        <v>0</v>
      </c>
      <c r="K100" s="782"/>
      <c r="L100" s="776">
        <f>I100*'Processrelaterede udledninger'!G15</f>
        <v>0</v>
      </c>
      <c r="M100" s="777"/>
      <c r="N100" s="436"/>
      <c r="O100" s="253"/>
      <c r="P100" s="253"/>
      <c r="Q100" s="253"/>
      <c r="R100" s="253"/>
      <c r="S100" s="253"/>
      <c r="T100" s="3"/>
      <c r="U100" s="92"/>
      <c r="V100" s="92"/>
      <c r="W100" s="92"/>
      <c r="X100" s="92"/>
      <c r="Y100" s="92"/>
      <c r="Z100" s="92"/>
      <c r="AA100" s="92"/>
      <c r="AB100" s="92"/>
      <c r="AC100" s="92"/>
      <c r="AD100" s="92"/>
      <c r="AE100" s="92"/>
    </row>
    <row r="101" spans="1:31" ht="11.25" customHeight="1" x14ac:dyDescent="0.15">
      <c r="A101" s="3"/>
      <c r="B101" s="259"/>
      <c r="C101" s="440"/>
      <c r="D101" s="778" t="str">
        <f>'Processrelaterede udledninger'!F16</f>
        <v>HCF-236fa (C3H2F6)</v>
      </c>
      <c r="E101" s="779"/>
      <c r="F101" s="779"/>
      <c r="G101" s="780"/>
      <c r="H101" s="504"/>
      <c r="I101" s="505"/>
      <c r="J101" s="781">
        <f t="shared" si="2"/>
        <v>0</v>
      </c>
      <c r="K101" s="782"/>
      <c r="L101" s="776">
        <f>I101*'Processrelaterede udledninger'!G16</f>
        <v>0</v>
      </c>
      <c r="M101" s="777"/>
      <c r="N101" s="436"/>
      <c r="O101" s="253"/>
      <c r="P101" s="253"/>
      <c r="Q101" s="253"/>
      <c r="R101" s="253"/>
      <c r="S101" s="253"/>
      <c r="T101" s="3"/>
      <c r="U101" s="92"/>
      <c r="V101" s="92"/>
      <c r="W101" s="92"/>
      <c r="X101" s="92"/>
      <c r="Y101" s="92"/>
      <c r="Z101" s="92"/>
      <c r="AA101" s="92"/>
      <c r="AB101" s="92"/>
      <c r="AC101" s="92"/>
      <c r="AD101" s="92"/>
      <c r="AE101" s="92"/>
    </row>
    <row r="102" spans="1:31" ht="11.25" customHeight="1" x14ac:dyDescent="0.15">
      <c r="A102" s="3"/>
      <c r="B102" s="259"/>
      <c r="C102" s="440"/>
      <c r="D102" s="778" t="str">
        <f>'Processrelaterede udledninger'!F17</f>
        <v xml:space="preserve">HCF-254ca (C3H3F5)  </v>
      </c>
      <c r="E102" s="779"/>
      <c r="F102" s="779"/>
      <c r="G102" s="780"/>
      <c r="H102" s="504"/>
      <c r="I102" s="505"/>
      <c r="J102" s="781">
        <f t="shared" si="2"/>
        <v>0</v>
      </c>
      <c r="K102" s="782"/>
      <c r="L102" s="776">
        <f>I102*'Processrelaterede udledninger'!G17</f>
        <v>0</v>
      </c>
      <c r="M102" s="777"/>
      <c r="N102" s="436"/>
      <c r="O102" s="253"/>
      <c r="P102" s="253"/>
      <c r="Q102" s="253"/>
      <c r="R102" s="253"/>
      <c r="S102" s="253"/>
      <c r="T102" s="3"/>
      <c r="U102" s="92"/>
      <c r="V102" s="92"/>
      <c r="W102" s="92"/>
      <c r="X102" s="92"/>
      <c r="Y102" s="92"/>
      <c r="Z102" s="92"/>
      <c r="AA102" s="92"/>
      <c r="AB102" s="92"/>
      <c r="AC102" s="92"/>
      <c r="AD102" s="92"/>
      <c r="AE102" s="92"/>
    </row>
    <row r="103" spans="1:31" ht="11.25" customHeight="1" x14ac:dyDescent="0.15">
      <c r="A103" s="3"/>
      <c r="B103" s="259"/>
      <c r="C103" s="440"/>
      <c r="D103" s="778" t="str">
        <f>'Processrelaterede udledninger'!F18</f>
        <v>Perfluorometan (CF4)</v>
      </c>
      <c r="E103" s="779"/>
      <c r="F103" s="779"/>
      <c r="G103" s="780"/>
      <c r="H103" s="504"/>
      <c r="I103" s="505"/>
      <c r="J103" s="781">
        <f t="shared" si="2"/>
        <v>0</v>
      </c>
      <c r="K103" s="782"/>
      <c r="L103" s="776">
        <f>I103*'Processrelaterede udledninger'!G18</f>
        <v>0</v>
      </c>
      <c r="M103" s="777"/>
      <c r="N103" s="436"/>
      <c r="O103" s="253"/>
      <c r="P103" s="253"/>
      <c r="Q103" s="253"/>
      <c r="R103" s="253"/>
      <c r="S103" s="253"/>
      <c r="T103" s="3"/>
      <c r="U103" s="92"/>
      <c r="V103" s="92"/>
      <c r="W103" s="92"/>
      <c r="X103" s="92"/>
      <c r="Y103" s="92"/>
      <c r="Z103" s="92"/>
      <c r="AA103" s="92"/>
      <c r="AB103" s="92"/>
      <c r="AC103" s="92"/>
      <c r="AD103" s="92"/>
      <c r="AE103" s="92"/>
    </row>
    <row r="104" spans="1:31" ht="11.25" customHeight="1" x14ac:dyDescent="0.15">
      <c r="A104" s="3"/>
      <c r="B104" s="259"/>
      <c r="C104" s="440"/>
      <c r="D104" s="778" t="str">
        <f>'Processrelaterede udledninger'!F19</f>
        <v>Perfluoromethan (C2F6)</v>
      </c>
      <c r="E104" s="779"/>
      <c r="F104" s="779"/>
      <c r="G104" s="780"/>
      <c r="H104" s="504"/>
      <c r="I104" s="505"/>
      <c r="J104" s="781">
        <f t="shared" si="2"/>
        <v>0</v>
      </c>
      <c r="K104" s="782"/>
      <c r="L104" s="776">
        <f>I104*'Processrelaterede udledninger'!G19</f>
        <v>0</v>
      </c>
      <c r="M104" s="777"/>
      <c r="N104" s="436"/>
      <c r="O104" s="253"/>
      <c r="P104" s="253"/>
      <c r="Q104" s="253"/>
      <c r="R104" s="253"/>
      <c r="S104" s="253"/>
      <c r="T104" s="3"/>
      <c r="U104" s="92"/>
      <c r="V104" s="92"/>
      <c r="W104" s="92"/>
      <c r="X104" s="92"/>
      <c r="Y104" s="92"/>
      <c r="Z104" s="92"/>
      <c r="AA104" s="92"/>
      <c r="AB104" s="92"/>
      <c r="AC104" s="92"/>
      <c r="AD104" s="92"/>
      <c r="AE104" s="92"/>
    </row>
    <row r="105" spans="1:31" ht="11.25" customHeight="1" x14ac:dyDescent="0.15">
      <c r="A105" s="3"/>
      <c r="B105" s="259"/>
      <c r="C105" s="440"/>
      <c r="D105" s="778" t="str">
        <f>'Processrelaterede udledninger'!F20</f>
        <v>Perfluoropropan (C3F8)</v>
      </c>
      <c r="E105" s="779"/>
      <c r="F105" s="779"/>
      <c r="G105" s="780"/>
      <c r="H105" s="504"/>
      <c r="I105" s="505"/>
      <c r="J105" s="781">
        <f t="shared" si="2"/>
        <v>0</v>
      </c>
      <c r="K105" s="782"/>
      <c r="L105" s="776">
        <f>I105*'Processrelaterede udledninger'!G20</f>
        <v>0</v>
      </c>
      <c r="M105" s="777"/>
      <c r="N105" s="436"/>
      <c r="O105" s="253"/>
      <c r="P105" s="253"/>
      <c r="Q105" s="253"/>
      <c r="R105" s="253"/>
      <c r="S105" s="253"/>
      <c r="T105" s="3"/>
      <c r="U105" s="92"/>
      <c r="V105" s="92"/>
      <c r="W105" s="92"/>
      <c r="X105" s="92"/>
      <c r="Y105" s="92"/>
      <c r="Z105" s="92"/>
      <c r="AA105" s="92"/>
      <c r="AB105" s="92"/>
      <c r="AC105" s="92"/>
      <c r="AD105" s="92"/>
      <c r="AE105" s="92"/>
    </row>
    <row r="106" spans="1:31" ht="11.25" customHeight="1" x14ac:dyDescent="0.15">
      <c r="A106" s="3"/>
      <c r="B106" s="259"/>
      <c r="C106" s="440"/>
      <c r="D106" s="778" t="str">
        <f>'Processrelaterede udledninger'!F21</f>
        <v xml:space="preserve">Perfluorobutan (C4F10)  </v>
      </c>
      <c r="E106" s="779"/>
      <c r="F106" s="779"/>
      <c r="G106" s="780"/>
      <c r="H106" s="504"/>
      <c r="I106" s="505"/>
      <c r="J106" s="781">
        <f t="shared" si="2"/>
        <v>0</v>
      </c>
      <c r="K106" s="782"/>
      <c r="L106" s="776">
        <f>I106*'Processrelaterede udledninger'!G21</f>
        <v>0</v>
      </c>
      <c r="M106" s="777"/>
      <c r="N106" s="436"/>
      <c r="O106" s="253"/>
      <c r="P106" s="253"/>
      <c r="Q106" s="253"/>
      <c r="R106" s="253"/>
      <c r="S106" s="253"/>
      <c r="T106" s="3"/>
      <c r="U106" s="92"/>
      <c r="V106" s="92"/>
      <c r="W106" s="92"/>
      <c r="X106" s="92"/>
      <c r="Y106" s="92"/>
      <c r="Z106" s="92"/>
      <c r="AA106" s="92"/>
      <c r="AB106" s="92"/>
      <c r="AC106" s="92"/>
      <c r="AD106" s="92"/>
      <c r="AE106" s="92"/>
    </row>
    <row r="107" spans="1:31" ht="11.25" customHeight="1" x14ac:dyDescent="0.15">
      <c r="A107" s="3"/>
      <c r="B107" s="259"/>
      <c r="C107" s="440"/>
      <c r="D107" s="778" t="str">
        <f>'Processrelaterede udledninger'!F22</f>
        <v>Perfluorocyclobutan (c-C4F8)</v>
      </c>
      <c r="E107" s="779"/>
      <c r="F107" s="779"/>
      <c r="G107" s="780"/>
      <c r="H107" s="504"/>
      <c r="I107" s="505"/>
      <c r="J107" s="781">
        <f t="shared" si="2"/>
        <v>0</v>
      </c>
      <c r="K107" s="782"/>
      <c r="L107" s="776">
        <f>I107*'Processrelaterede udledninger'!G22</f>
        <v>0</v>
      </c>
      <c r="M107" s="777"/>
      <c r="N107" s="436"/>
      <c r="O107" s="253"/>
      <c r="P107" s="253"/>
      <c r="Q107" s="253"/>
      <c r="R107" s="253"/>
      <c r="S107" s="253"/>
      <c r="T107" s="3"/>
      <c r="U107" s="92"/>
      <c r="V107" s="92"/>
      <c r="W107" s="92"/>
      <c r="X107" s="92"/>
      <c r="Y107" s="92"/>
      <c r="Z107" s="92"/>
      <c r="AA107" s="92"/>
      <c r="AB107" s="92"/>
      <c r="AC107" s="92"/>
      <c r="AD107" s="92"/>
      <c r="AE107" s="92"/>
    </row>
    <row r="108" spans="1:31" ht="11.25" customHeight="1" x14ac:dyDescent="0.15">
      <c r="A108" s="3"/>
      <c r="B108" s="259"/>
      <c r="C108" s="440"/>
      <c r="D108" s="778" t="str">
        <f>'Processrelaterede udledninger'!F23</f>
        <v>Perfluoropentan (C5F12)</v>
      </c>
      <c r="E108" s="779"/>
      <c r="F108" s="779"/>
      <c r="G108" s="780"/>
      <c r="H108" s="504"/>
      <c r="I108" s="505"/>
      <c r="J108" s="781">
        <f t="shared" si="2"/>
        <v>0</v>
      </c>
      <c r="K108" s="782"/>
      <c r="L108" s="776">
        <f>I108*'Processrelaterede udledninger'!G23</f>
        <v>0</v>
      </c>
      <c r="M108" s="777"/>
      <c r="N108" s="436"/>
      <c r="O108" s="253"/>
      <c r="P108" s="253"/>
      <c r="Q108" s="253"/>
      <c r="R108" s="253"/>
      <c r="S108" s="253"/>
      <c r="T108" s="3"/>
      <c r="U108" s="92"/>
      <c r="V108" s="92"/>
      <c r="W108" s="92"/>
      <c r="X108" s="92"/>
      <c r="Y108" s="92"/>
      <c r="Z108" s="92"/>
      <c r="AA108" s="92"/>
      <c r="AB108" s="92"/>
      <c r="AC108" s="92"/>
      <c r="AD108" s="92"/>
      <c r="AE108" s="92"/>
    </row>
    <row r="109" spans="1:31" ht="11.25" customHeight="1" x14ac:dyDescent="0.15">
      <c r="A109" s="3"/>
      <c r="B109" s="259"/>
      <c r="C109" s="440"/>
      <c r="D109" s="778" t="str">
        <f>'Processrelaterede udledninger'!F24</f>
        <v>Perfluorohexan (C6F14)</v>
      </c>
      <c r="E109" s="779"/>
      <c r="F109" s="779"/>
      <c r="G109" s="780"/>
      <c r="H109" s="504"/>
      <c r="I109" s="505"/>
      <c r="J109" s="781">
        <f t="shared" si="2"/>
        <v>0</v>
      </c>
      <c r="K109" s="782"/>
      <c r="L109" s="776">
        <f>I109*'Processrelaterede udledninger'!G24</f>
        <v>0</v>
      </c>
      <c r="M109" s="777"/>
      <c r="N109" s="436"/>
      <c r="O109" s="253"/>
      <c r="P109" s="253"/>
      <c r="Q109" s="253"/>
      <c r="R109" s="253"/>
      <c r="S109" s="253"/>
      <c r="T109" s="3"/>
      <c r="U109" s="92"/>
      <c r="V109" s="92"/>
      <c r="W109" s="92"/>
      <c r="X109" s="92"/>
      <c r="Y109" s="92"/>
      <c r="Z109" s="92"/>
      <c r="AA109" s="92"/>
      <c r="AB109" s="92"/>
      <c r="AC109" s="92"/>
      <c r="AD109" s="92"/>
      <c r="AE109" s="92"/>
    </row>
    <row r="110" spans="1:31" x14ac:dyDescent="0.15">
      <c r="A110" s="3"/>
      <c r="B110" s="259"/>
      <c r="C110" s="440"/>
      <c r="D110" s="778" t="str">
        <f>'Processrelaterede udledninger'!F25</f>
        <v>Svovlhexafluorid (SF6)</v>
      </c>
      <c r="E110" s="779"/>
      <c r="F110" s="779"/>
      <c r="G110" s="780"/>
      <c r="H110" s="504"/>
      <c r="I110" s="505"/>
      <c r="J110" s="781">
        <f t="shared" si="2"/>
        <v>0</v>
      </c>
      <c r="K110" s="782"/>
      <c r="L110" s="776">
        <f>I110*'Processrelaterede udledninger'!G25</f>
        <v>0</v>
      </c>
      <c r="M110" s="777"/>
      <c r="N110" s="436"/>
      <c r="O110" s="253"/>
      <c r="P110" s="253"/>
      <c r="Q110" s="253"/>
      <c r="R110" s="253"/>
      <c r="S110" s="253"/>
      <c r="T110" s="3"/>
      <c r="U110" s="92"/>
      <c r="V110" s="92"/>
      <c r="W110" s="92"/>
      <c r="X110" s="92"/>
      <c r="Y110" s="92"/>
      <c r="Z110" s="92"/>
      <c r="AA110" s="92"/>
      <c r="AB110" s="92"/>
      <c r="AC110" s="92"/>
      <c r="AD110" s="92"/>
      <c r="AE110" s="92"/>
    </row>
    <row r="111" spans="1:31" x14ac:dyDescent="0.15">
      <c r="A111" s="3"/>
      <c r="B111" s="259"/>
      <c r="C111" s="440"/>
      <c r="D111" s="706" t="s">
        <v>164</v>
      </c>
      <c r="E111" s="707"/>
      <c r="F111" s="707"/>
      <c r="G111" s="708"/>
      <c r="H111" s="506">
        <f>SUM(H87:H110)</f>
        <v>0</v>
      </c>
      <c r="I111" s="534">
        <f>SUM(I87:I110)</f>
        <v>0</v>
      </c>
      <c r="J111" s="813">
        <f>SUM(J87:K110)</f>
        <v>0</v>
      </c>
      <c r="K111" s="814"/>
      <c r="L111" s="774">
        <f>SUM(L87:L110)</f>
        <v>0</v>
      </c>
      <c r="M111" s="775"/>
      <c r="N111" s="436"/>
      <c r="O111" s="253"/>
      <c r="P111" s="253"/>
      <c r="Q111" s="253"/>
      <c r="R111" s="253"/>
      <c r="S111" s="253"/>
      <c r="T111" s="3"/>
      <c r="U111" s="92"/>
      <c r="V111" s="92"/>
      <c r="W111" s="92"/>
      <c r="X111" s="92"/>
      <c r="Y111" s="92"/>
      <c r="Z111" s="92"/>
      <c r="AA111" s="92"/>
      <c r="AB111" s="92"/>
      <c r="AC111" s="92"/>
      <c r="AD111" s="92"/>
      <c r="AE111" s="92"/>
    </row>
    <row r="112" spans="1:31" x14ac:dyDescent="0.15">
      <c r="A112" s="3"/>
      <c r="B112" s="259"/>
      <c r="C112" s="440"/>
      <c r="D112" s="793"/>
      <c r="E112" s="794"/>
      <c r="F112" s="794"/>
      <c r="G112" s="795"/>
      <c r="H112" s="445" t="s">
        <v>178</v>
      </c>
      <c r="I112" s="535" t="s">
        <v>178</v>
      </c>
      <c r="J112" s="815" t="s">
        <v>178</v>
      </c>
      <c r="K112" s="816"/>
      <c r="L112" s="825" t="s">
        <v>179</v>
      </c>
      <c r="M112" s="826"/>
      <c r="N112" s="436"/>
      <c r="O112" s="253"/>
      <c r="P112" s="253"/>
      <c r="Q112" s="253"/>
      <c r="R112" s="253"/>
      <c r="S112" s="253"/>
      <c r="T112" s="3"/>
      <c r="U112" s="92"/>
      <c r="V112" s="92"/>
      <c r="W112" s="92"/>
      <c r="X112" s="92"/>
      <c r="Y112" s="92"/>
      <c r="Z112" s="92"/>
      <c r="AA112" s="92"/>
      <c r="AB112" s="92"/>
      <c r="AC112" s="92"/>
      <c r="AD112" s="92"/>
      <c r="AE112" s="92"/>
    </row>
    <row r="113" spans="1:31" ht="11.25" customHeight="1" x14ac:dyDescent="0.15">
      <c r="A113" s="3"/>
      <c r="B113" s="259"/>
      <c r="C113" s="441"/>
      <c r="D113" s="442"/>
      <c r="E113" s="442"/>
      <c r="F113" s="442"/>
      <c r="G113" s="442"/>
      <c r="H113" s="442"/>
      <c r="I113" s="442"/>
      <c r="J113" s="442"/>
      <c r="K113" s="442"/>
      <c r="L113" s="442"/>
      <c r="M113" s="442"/>
      <c r="N113" s="437"/>
      <c r="O113" s="253"/>
      <c r="P113" s="253"/>
      <c r="Q113" s="253"/>
      <c r="R113" s="253"/>
      <c r="S113" s="253"/>
      <c r="T113" s="3"/>
      <c r="U113" s="92"/>
      <c r="V113" s="92"/>
      <c r="W113" s="92"/>
      <c r="X113" s="92"/>
      <c r="Y113" s="92"/>
      <c r="Z113" s="92"/>
      <c r="AA113" s="92"/>
      <c r="AB113" s="92"/>
      <c r="AC113" s="92"/>
      <c r="AD113" s="92"/>
      <c r="AE113" s="92"/>
    </row>
    <row r="114" spans="1:31" ht="11.25" customHeight="1" x14ac:dyDescent="0.15">
      <c r="A114" s="3"/>
      <c r="B114" s="259"/>
      <c r="C114" s="260"/>
      <c r="D114" s="260"/>
      <c r="E114" s="260"/>
      <c r="F114" s="260"/>
      <c r="G114" s="260"/>
      <c r="H114" s="260"/>
      <c r="I114" s="260"/>
      <c r="J114" s="260"/>
      <c r="K114" s="260"/>
      <c r="L114" s="260"/>
      <c r="M114" s="260"/>
      <c r="N114" s="253"/>
      <c r="O114" s="261"/>
      <c r="P114" s="261"/>
      <c r="Q114" s="261"/>
      <c r="R114" s="261"/>
      <c r="S114" s="261"/>
      <c r="T114" s="3"/>
      <c r="U114" s="92"/>
      <c r="V114" s="92"/>
      <c r="W114" s="92"/>
      <c r="X114" s="92"/>
      <c r="Y114" s="92"/>
      <c r="Z114" s="92"/>
      <c r="AA114" s="92"/>
      <c r="AB114" s="92"/>
      <c r="AC114" s="92"/>
      <c r="AD114" s="92"/>
      <c r="AE114" s="92"/>
    </row>
    <row r="115" spans="1:31" s="182" customFormat="1" ht="3.75" customHeight="1" x14ac:dyDescent="0.15">
      <c r="A115" s="93"/>
      <c r="B115" s="93"/>
      <c r="C115" s="93"/>
      <c r="D115" s="235"/>
      <c r="E115" s="235"/>
      <c r="F115" s="235"/>
      <c r="G115" s="235"/>
      <c r="H115" s="235"/>
      <c r="I115" s="93"/>
      <c r="J115" s="93"/>
      <c r="K115" s="235"/>
      <c r="L115" s="235"/>
      <c r="M115" s="235"/>
      <c r="N115" s="235"/>
      <c r="O115" s="235"/>
      <c r="P115" s="235"/>
      <c r="Q115" s="235"/>
      <c r="R115" s="235"/>
      <c r="S115" s="235"/>
      <c r="T115" s="93"/>
      <c r="U115" s="2"/>
      <c r="V115" s="2"/>
      <c r="W115" s="2"/>
      <c r="X115" s="2"/>
      <c r="Y115" s="2"/>
      <c r="Z115" s="2"/>
      <c r="AA115" s="2"/>
      <c r="AB115" s="2"/>
      <c r="AC115" s="2"/>
      <c r="AD115" s="2"/>
      <c r="AE115" s="2"/>
    </row>
    <row r="116" spans="1:31" x14ac:dyDescent="0.15">
      <c r="A116" s="3"/>
      <c r="B116" s="259"/>
      <c r="C116" s="259"/>
      <c r="D116" s="259"/>
      <c r="E116" s="259"/>
      <c r="F116" s="259"/>
      <c r="G116" s="259"/>
      <c r="H116" s="259"/>
      <c r="I116" s="259"/>
      <c r="J116" s="259"/>
      <c r="K116" s="259"/>
      <c r="L116" s="259"/>
      <c r="M116" s="259"/>
      <c r="N116" s="259"/>
      <c r="O116" s="259"/>
      <c r="P116" s="259"/>
      <c r="Q116" s="259"/>
      <c r="R116" s="259"/>
      <c r="S116" s="259"/>
      <c r="T116" s="3"/>
      <c r="U116" s="92"/>
      <c r="V116" s="92"/>
      <c r="W116" s="92"/>
      <c r="X116" s="92"/>
      <c r="Y116" s="92"/>
      <c r="Z116" s="92"/>
      <c r="AA116" s="92"/>
      <c r="AB116" s="92"/>
      <c r="AC116" s="92"/>
      <c r="AD116" s="92"/>
      <c r="AE116" s="92"/>
    </row>
    <row r="117" spans="1:31" ht="14.25" x14ac:dyDescent="0.2">
      <c r="A117" s="3"/>
      <c r="B117" s="259"/>
      <c r="C117" s="276" t="s">
        <v>180</v>
      </c>
      <c r="D117" s="276"/>
      <c r="E117" s="259"/>
      <c r="F117" s="259"/>
      <c r="G117" s="259"/>
      <c r="H117" s="259"/>
      <c r="I117" s="259"/>
      <c r="J117" s="259"/>
      <c r="K117" s="259"/>
      <c r="L117" s="259"/>
      <c r="M117" s="259"/>
      <c r="N117" s="259"/>
      <c r="O117" s="259"/>
      <c r="P117" s="259"/>
      <c r="Q117" s="259"/>
      <c r="R117" s="259"/>
      <c r="S117" s="259"/>
      <c r="T117" s="3"/>
      <c r="U117" s="92"/>
      <c r="V117" s="92"/>
      <c r="W117" s="92"/>
      <c r="X117" s="92"/>
      <c r="Y117" s="92"/>
      <c r="Z117" s="92"/>
      <c r="AA117" s="92"/>
      <c r="AB117" s="92"/>
      <c r="AC117" s="92"/>
      <c r="AD117" s="92"/>
      <c r="AE117" s="92"/>
    </row>
    <row r="118" spans="1:31" ht="11.25" hidden="1" customHeight="1" x14ac:dyDescent="0.15">
      <c r="A118" s="3"/>
      <c r="B118" s="259"/>
      <c r="C118" s="796" t="s">
        <v>181</v>
      </c>
      <c r="D118" s="797"/>
      <c r="E118" s="797"/>
      <c r="F118" s="797"/>
      <c r="G118" s="797"/>
      <c r="H118" s="798"/>
      <c r="I118" s="822" t="s">
        <v>182</v>
      </c>
      <c r="J118" s="259"/>
      <c r="K118" s="259"/>
      <c r="L118" s="259"/>
      <c r="M118" s="259"/>
      <c r="N118" s="259"/>
      <c r="O118" s="259"/>
      <c r="P118" s="259"/>
      <c r="Q118" s="259"/>
      <c r="R118" s="259"/>
      <c r="S118" s="259"/>
      <c r="T118" s="3"/>
      <c r="U118" s="92"/>
      <c r="V118" s="92"/>
      <c r="W118" s="92"/>
      <c r="X118" s="92"/>
      <c r="Y118" s="92"/>
      <c r="Z118" s="92"/>
      <c r="AA118" s="92"/>
      <c r="AB118" s="92"/>
      <c r="AC118" s="92"/>
      <c r="AD118" s="92"/>
      <c r="AE118" s="92"/>
    </row>
    <row r="119" spans="1:31" ht="11.25" hidden="1" customHeight="1" x14ac:dyDescent="0.15">
      <c r="A119" s="3"/>
      <c r="B119" s="259"/>
      <c r="C119" s="799" t="s">
        <v>183</v>
      </c>
      <c r="D119" s="800"/>
      <c r="E119" s="800"/>
      <c r="F119" s="800"/>
      <c r="G119" s="800"/>
      <c r="H119" s="801"/>
      <c r="I119" s="822"/>
      <c r="J119" s="259"/>
      <c r="K119" s="259"/>
      <c r="L119" s="259"/>
      <c r="M119" s="259"/>
      <c r="N119" s="259"/>
      <c r="O119" s="259"/>
      <c r="P119" s="259"/>
      <c r="Q119" s="259"/>
      <c r="R119" s="259"/>
      <c r="S119" s="259"/>
      <c r="T119" s="3"/>
      <c r="U119" s="92"/>
      <c r="V119" s="92"/>
      <c r="W119" s="92"/>
      <c r="X119" s="92"/>
      <c r="Y119" s="92"/>
      <c r="Z119" s="92"/>
      <c r="AA119" s="92"/>
      <c r="AB119" s="92"/>
      <c r="AC119" s="92"/>
      <c r="AD119" s="92"/>
      <c r="AE119" s="92"/>
    </row>
    <row r="120" spans="1:31" s="10" customFormat="1" x14ac:dyDescent="0.15">
      <c r="A120" s="3"/>
      <c r="B120" s="259"/>
      <c r="C120" s="259"/>
      <c r="D120" s="259"/>
      <c r="E120" s="259"/>
      <c r="F120" s="259"/>
      <c r="G120" s="259"/>
      <c r="H120" s="259"/>
      <c r="I120" s="259"/>
      <c r="J120" s="259"/>
      <c r="K120" s="259"/>
      <c r="L120" s="259"/>
      <c r="M120" s="259"/>
      <c r="N120" s="259"/>
      <c r="O120" s="259"/>
      <c r="P120" s="259"/>
      <c r="Q120" s="259"/>
      <c r="R120" s="259"/>
      <c r="S120" s="259"/>
      <c r="T120" s="3"/>
      <c r="U120" s="92"/>
      <c r="V120" s="92"/>
      <c r="W120" s="92"/>
      <c r="X120" s="92"/>
      <c r="Y120" s="92"/>
      <c r="Z120" s="92"/>
      <c r="AA120" s="92"/>
      <c r="AB120" s="92"/>
      <c r="AC120" s="92"/>
      <c r="AD120" s="92"/>
      <c r="AE120" s="92"/>
    </row>
    <row r="121" spans="1:31" x14ac:dyDescent="0.15">
      <c r="A121" s="3"/>
      <c r="B121" s="259"/>
      <c r="C121" s="272" t="s">
        <v>596</v>
      </c>
      <c r="D121" s="272"/>
      <c r="E121" s="259"/>
      <c r="F121" s="259"/>
      <c r="G121" s="259"/>
      <c r="H121" s="259"/>
      <c r="I121" s="259"/>
      <c r="J121" s="259"/>
      <c r="K121" s="259"/>
      <c r="L121" s="259"/>
      <c r="M121" s="259"/>
      <c r="N121" s="259"/>
      <c r="O121" s="259"/>
      <c r="P121" s="259"/>
      <c r="Q121" s="259"/>
      <c r="R121" s="259"/>
      <c r="S121" s="259"/>
      <c r="T121" s="3"/>
      <c r="U121" s="92"/>
      <c r="V121" s="92"/>
      <c r="W121" s="92"/>
      <c r="X121" s="92"/>
      <c r="Y121" s="92"/>
      <c r="Z121" s="92"/>
      <c r="AA121" s="92"/>
      <c r="AB121" s="92"/>
      <c r="AC121" s="92"/>
      <c r="AD121" s="92"/>
      <c r="AE121" s="92"/>
    </row>
    <row r="122" spans="1:31" x14ac:dyDescent="0.15">
      <c r="A122" s="3"/>
      <c r="B122" s="259"/>
      <c r="C122" s="259" t="str">
        <f>CONCATENATE("Hvor mange %, materiale bliver der sparet i produktets brugsfase ",C119," ?")</f>
        <v>Hvor mange %, materiale bliver der sparet i produktets brugsfase over produktets levetid ?</v>
      </c>
      <c r="D122" s="259"/>
      <c r="E122" s="259"/>
      <c r="F122" s="259"/>
      <c r="G122" s="259"/>
      <c r="H122" s="259"/>
      <c r="I122" s="253"/>
      <c r="J122" s="259"/>
      <c r="K122" s="259"/>
      <c r="L122" s="259"/>
      <c r="M122" s="259"/>
      <c r="N122" s="259"/>
      <c r="O122" s="259"/>
      <c r="P122" s="259"/>
      <c r="Q122" s="259"/>
      <c r="R122" s="259"/>
      <c r="S122" s="259"/>
      <c r="T122" s="3"/>
      <c r="U122" s="92"/>
      <c r="V122" s="92"/>
      <c r="W122" s="92"/>
      <c r="X122" s="92"/>
      <c r="Y122" s="92"/>
      <c r="Z122" s="92"/>
      <c r="AA122" s="92"/>
      <c r="AB122" s="92"/>
      <c r="AC122" s="92"/>
      <c r="AD122" s="92"/>
      <c r="AE122" s="92"/>
    </row>
    <row r="123" spans="1:31" x14ac:dyDescent="0.15">
      <c r="A123" s="3"/>
      <c r="B123" s="259"/>
      <c r="C123" s="297" t="s">
        <v>184</v>
      </c>
      <c r="D123" s="259"/>
      <c r="E123" s="259"/>
      <c r="F123" s="259"/>
      <c r="G123" s="259"/>
      <c r="H123" s="259"/>
      <c r="I123" s="259"/>
      <c r="J123" s="253"/>
      <c r="K123" s="253"/>
      <c r="L123" s="253"/>
      <c r="M123" s="253"/>
      <c r="N123" s="253"/>
      <c r="O123" s="253"/>
      <c r="P123" s="253"/>
      <c r="Q123" s="253"/>
      <c r="R123" s="253"/>
      <c r="S123" s="253"/>
      <c r="T123" s="3"/>
      <c r="U123" s="92"/>
      <c r="V123" s="92"/>
      <c r="W123" s="92"/>
      <c r="X123" s="92"/>
      <c r="Y123" s="92"/>
      <c r="Z123" s="92"/>
      <c r="AA123" s="92"/>
      <c r="AB123" s="92"/>
      <c r="AC123" s="92"/>
      <c r="AD123" s="92"/>
      <c r="AE123" s="92"/>
    </row>
    <row r="124" spans="1:31" x14ac:dyDescent="0.15">
      <c r="A124" s="3"/>
      <c r="B124" s="259"/>
      <c r="C124" s="298" t="s">
        <v>185</v>
      </c>
      <c r="D124" s="259"/>
      <c r="E124" s="259"/>
      <c r="F124" s="259"/>
      <c r="G124" s="259"/>
      <c r="H124" s="259"/>
      <c r="I124" s="259"/>
      <c r="J124" s="253"/>
      <c r="K124" s="253"/>
      <c r="L124" s="253"/>
      <c r="M124" s="253"/>
      <c r="N124" s="253"/>
      <c r="O124" s="253"/>
      <c r="P124" s="253"/>
      <c r="Q124" s="253"/>
      <c r="R124" s="253"/>
      <c r="S124" s="253"/>
      <c r="T124" s="3"/>
      <c r="U124" s="92"/>
      <c r="V124" s="92"/>
      <c r="W124" s="92"/>
      <c r="X124" s="92"/>
      <c r="Y124" s="92"/>
      <c r="Z124" s="92"/>
      <c r="AA124" s="92"/>
      <c r="AB124" s="92"/>
      <c r="AC124" s="92"/>
      <c r="AD124" s="92"/>
      <c r="AE124" s="92"/>
    </row>
    <row r="125" spans="1:31" ht="8.25" customHeight="1" x14ac:dyDescent="0.15">
      <c r="A125" s="3"/>
      <c r="B125" s="259"/>
      <c r="C125" s="297"/>
      <c r="D125" s="259"/>
      <c r="E125" s="259"/>
      <c r="F125" s="259"/>
      <c r="G125" s="259"/>
      <c r="H125" s="259"/>
      <c r="I125" s="259"/>
      <c r="J125" s="253"/>
      <c r="K125" s="253"/>
      <c r="L125" s="253"/>
      <c r="M125" s="253"/>
      <c r="N125" s="253"/>
      <c r="O125" s="253"/>
      <c r="P125" s="253"/>
      <c r="Q125" s="253"/>
      <c r="R125" s="253"/>
      <c r="S125" s="253"/>
      <c r="T125" s="3"/>
      <c r="U125" s="92"/>
      <c r="V125" s="92"/>
      <c r="W125" s="92"/>
      <c r="X125" s="92"/>
      <c r="Y125" s="92"/>
      <c r="Z125" s="92"/>
      <c r="AA125" s="92"/>
      <c r="AB125" s="92"/>
      <c r="AC125" s="92"/>
      <c r="AD125" s="92"/>
      <c r="AE125" s="92"/>
    </row>
    <row r="126" spans="1:31" ht="12.75" customHeight="1" x14ac:dyDescent="0.15">
      <c r="A126" s="3"/>
      <c r="B126" s="259"/>
      <c r="C126" s="536"/>
      <c r="D126" s="537"/>
      <c r="E126" s="537"/>
      <c r="F126" s="537"/>
      <c r="G126" s="537"/>
      <c r="H126" s="537"/>
      <c r="I126" s="537"/>
      <c r="J126" s="538"/>
      <c r="K126" s="538"/>
      <c r="L126" s="538"/>
      <c r="M126" s="538"/>
      <c r="N126" s="539"/>
      <c r="O126" s="261"/>
      <c r="P126" s="261"/>
      <c r="Q126" s="261"/>
      <c r="R126" s="261"/>
      <c r="S126" s="261"/>
      <c r="T126" s="3"/>
      <c r="U126" s="92"/>
      <c r="V126" s="92"/>
      <c r="W126" s="92"/>
      <c r="X126" s="92"/>
      <c r="Y126" s="92"/>
      <c r="Z126" s="92"/>
      <c r="AA126" s="92"/>
      <c r="AB126" s="92"/>
      <c r="AC126" s="92"/>
      <c r="AD126" s="92"/>
      <c r="AE126" s="92"/>
    </row>
    <row r="127" spans="1:31" ht="43.5" customHeight="1" x14ac:dyDescent="0.15">
      <c r="A127" s="11"/>
      <c r="B127" s="299"/>
      <c r="C127" s="541"/>
      <c r="D127" s="819" t="str">
        <f>CONCATENATE("Materiale sparet ",$C$119)</f>
        <v>Materiale sparet over produktets levetid</v>
      </c>
      <c r="E127" s="820"/>
      <c r="F127" s="821"/>
      <c r="G127" s="206" t="s">
        <v>159</v>
      </c>
      <c r="H127" s="204" t="s">
        <v>595</v>
      </c>
      <c r="I127" s="461" t="s">
        <v>161</v>
      </c>
      <c r="J127" s="773" t="s">
        <v>162</v>
      </c>
      <c r="K127" s="669"/>
      <c r="L127" s="694" t="s">
        <v>163</v>
      </c>
      <c r="M127" s="695"/>
      <c r="N127" s="540"/>
      <c r="O127" s="261"/>
      <c r="P127" s="261"/>
      <c r="Q127" s="261"/>
      <c r="R127" s="261"/>
      <c r="S127" s="261"/>
      <c r="T127" s="12"/>
      <c r="U127" s="92"/>
      <c r="V127" s="92"/>
      <c r="W127" s="92"/>
      <c r="X127" s="92"/>
      <c r="Y127" s="92"/>
      <c r="Z127" s="92"/>
      <c r="AA127" s="92"/>
      <c r="AB127" s="92"/>
      <c r="AC127" s="92"/>
      <c r="AD127" s="92"/>
      <c r="AE127" s="92"/>
    </row>
    <row r="128" spans="1:31" ht="11.25" customHeight="1" x14ac:dyDescent="0.15">
      <c r="A128" s="3"/>
      <c r="B128" s="259"/>
      <c r="C128" s="542"/>
      <c r="D128" s="672" t="s">
        <v>145</v>
      </c>
      <c r="E128" s="673"/>
      <c r="F128" s="674"/>
      <c r="G128" s="501"/>
      <c r="H128" s="468"/>
      <c r="I128" s="508">
        <f>G128*H128</f>
        <v>0</v>
      </c>
      <c r="J128" s="817" t="str">
        <f>IF($D128="(Blank)","",VLOOKUP($D128,'DB materialer'!$B$6:$AD$56,27,FALSE))</f>
        <v/>
      </c>
      <c r="K128" s="818"/>
      <c r="L128" s="888" t="str">
        <f>IF($D128="(Blank)","",VLOOKUP($D128,'DB materialer'!$B$6:$AD$56,29,FALSE))</f>
        <v/>
      </c>
      <c r="M128" s="889"/>
      <c r="N128" s="540"/>
      <c r="O128" s="261"/>
      <c r="P128" s="261"/>
      <c r="Q128" s="261"/>
      <c r="R128" s="261"/>
      <c r="S128" s="261"/>
      <c r="T128" s="3"/>
      <c r="U128" s="92"/>
      <c r="V128" s="92"/>
      <c r="W128" s="92"/>
      <c r="X128" s="92"/>
      <c r="Y128" s="92"/>
      <c r="Z128" s="92"/>
      <c r="AA128" s="92"/>
      <c r="AB128" s="92"/>
      <c r="AC128" s="92"/>
      <c r="AD128" s="92"/>
      <c r="AE128" s="92"/>
    </row>
    <row r="129" spans="1:31" x14ac:dyDescent="0.15">
      <c r="A129" s="3"/>
      <c r="B129" s="259"/>
      <c r="C129" s="542"/>
      <c r="D129" s="672" t="s">
        <v>145</v>
      </c>
      <c r="E129" s="673"/>
      <c r="F129" s="674"/>
      <c r="G129" s="501"/>
      <c r="H129" s="468"/>
      <c r="I129" s="508">
        <f t="shared" ref="I129:I132" si="3">G129*H129</f>
        <v>0</v>
      </c>
      <c r="J129" s="817" t="str">
        <f>IF($D129="(Blank)","",VLOOKUP($D129,'DB materialer'!$B$6:$AD$56,27,FALSE))</f>
        <v/>
      </c>
      <c r="K129" s="818"/>
      <c r="L129" s="888" t="str">
        <f>IF($D129="(Blank)","",VLOOKUP($D129,'DB materialer'!$B$6:$AD$56,29,FALSE))</f>
        <v/>
      </c>
      <c r="M129" s="889"/>
      <c r="N129" s="540"/>
      <c r="O129" s="492"/>
      <c r="P129" s="492"/>
      <c r="Q129" s="492"/>
      <c r="R129" s="261"/>
      <c r="S129" s="261"/>
      <c r="T129" s="3"/>
      <c r="U129" s="92"/>
      <c r="V129" s="92"/>
      <c r="W129" s="92"/>
      <c r="X129" s="92"/>
      <c r="Y129" s="92"/>
      <c r="Z129" s="92"/>
      <c r="AA129" s="92"/>
      <c r="AB129" s="92"/>
      <c r="AC129" s="92"/>
      <c r="AD129" s="92"/>
      <c r="AE129" s="92"/>
    </row>
    <row r="130" spans="1:31" x14ac:dyDescent="0.15">
      <c r="A130" s="3"/>
      <c r="B130" s="259"/>
      <c r="C130" s="542"/>
      <c r="D130" s="672" t="s">
        <v>145</v>
      </c>
      <c r="E130" s="673"/>
      <c r="F130" s="674"/>
      <c r="G130" s="501"/>
      <c r="H130" s="468"/>
      <c r="I130" s="508">
        <f t="shared" si="3"/>
        <v>0</v>
      </c>
      <c r="J130" s="817" t="str">
        <f>IF($D130="(Blank)","",VLOOKUP($D130,'DB materialer'!$B$6:$AD$56,27,FALSE))</f>
        <v/>
      </c>
      <c r="K130" s="818"/>
      <c r="L130" s="888" t="str">
        <f>IF($D130="(Blank)","",VLOOKUP($D130,'DB materialer'!$B$6:$AD$56,29,FALSE))</f>
        <v/>
      </c>
      <c r="M130" s="889"/>
      <c r="N130" s="540"/>
      <c r="O130" s="492"/>
      <c r="P130" s="492"/>
      <c r="Q130" s="492"/>
      <c r="R130" s="261"/>
      <c r="S130" s="261"/>
      <c r="T130" s="3"/>
      <c r="U130" s="92"/>
      <c r="V130" s="92"/>
      <c r="W130" s="92"/>
      <c r="X130" s="92"/>
      <c r="Y130" s="92"/>
      <c r="Z130" s="92"/>
      <c r="AA130" s="92"/>
      <c r="AB130" s="92"/>
      <c r="AC130" s="92"/>
      <c r="AD130" s="92"/>
      <c r="AE130" s="92"/>
    </row>
    <row r="131" spans="1:31" x14ac:dyDescent="0.15">
      <c r="A131" s="3"/>
      <c r="B131" s="259"/>
      <c r="C131" s="542"/>
      <c r="D131" s="672" t="s">
        <v>145</v>
      </c>
      <c r="E131" s="673"/>
      <c r="F131" s="674"/>
      <c r="G131" s="501"/>
      <c r="H131" s="468"/>
      <c r="I131" s="508">
        <f t="shared" si="3"/>
        <v>0</v>
      </c>
      <c r="J131" s="817" t="str">
        <f>IF($D131="(Blank)","",VLOOKUP($D131,'DB materialer'!$B$6:$AD$56,27,FALSE))</f>
        <v/>
      </c>
      <c r="K131" s="818"/>
      <c r="L131" s="888" t="str">
        <f>IF($D131="(Blank)","",VLOOKUP($D131,'DB materialer'!$B$6:$AD$56,29,FALSE))</f>
        <v/>
      </c>
      <c r="M131" s="889"/>
      <c r="N131" s="540"/>
      <c r="O131" s="492"/>
      <c r="P131" s="294"/>
      <c r="Q131" s="259"/>
      <c r="R131" s="261"/>
      <c r="S131" s="261"/>
      <c r="T131" s="3"/>
      <c r="U131" s="92"/>
      <c r="V131" s="92"/>
      <c r="W131" s="688"/>
      <c r="X131" s="688"/>
      <c r="Y131" s="92"/>
      <c r="Z131" s="92"/>
      <c r="AA131" s="92"/>
      <c r="AB131" s="92"/>
      <c r="AC131" s="92"/>
      <c r="AD131" s="92"/>
      <c r="AE131" s="92"/>
    </row>
    <row r="132" spans="1:31" x14ac:dyDescent="0.15">
      <c r="A132" s="3"/>
      <c r="B132" s="259"/>
      <c r="C132" s="542"/>
      <c r="D132" s="672" t="s">
        <v>145</v>
      </c>
      <c r="E132" s="673"/>
      <c r="F132" s="674"/>
      <c r="G132" s="501"/>
      <c r="H132" s="468"/>
      <c r="I132" s="508">
        <f t="shared" si="3"/>
        <v>0</v>
      </c>
      <c r="J132" s="817" t="str">
        <f>IF($D132="(Blank)","",VLOOKUP($D132,'DB materialer'!$B$6:$AD$56,27,FALSE))</f>
        <v/>
      </c>
      <c r="K132" s="818"/>
      <c r="L132" s="888" t="str">
        <f>IF($D132="(Blank)","",VLOOKUP($D132,'DB materialer'!$B$6:$AD$56,29,FALSE))</f>
        <v/>
      </c>
      <c r="M132" s="889"/>
      <c r="N132" s="540"/>
      <c r="O132" s="492"/>
      <c r="P132" s="579"/>
      <c r="Q132" s="259"/>
      <c r="R132" s="261"/>
      <c r="S132" s="261"/>
      <c r="T132" s="3"/>
      <c r="U132" s="92"/>
      <c r="V132" s="92"/>
      <c r="W132" s="688"/>
      <c r="X132" s="688"/>
      <c r="Y132" s="92"/>
      <c r="Z132" s="92"/>
      <c r="AA132" s="92"/>
      <c r="AB132" s="92"/>
      <c r="AC132" s="92"/>
      <c r="AD132" s="92"/>
      <c r="AE132" s="92"/>
    </row>
    <row r="133" spans="1:31" x14ac:dyDescent="0.15">
      <c r="A133" s="3"/>
      <c r="B133" s="259"/>
      <c r="C133" s="542"/>
      <c r="D133" s="805" t="s">
        <v>164</v>
      </c>
      <c r="E133" s="806"/>
      <c r="F133" s="807"/>
      <c r="G133" s="507">
        <f>SUM(G128:G132)</f>
        <v>0</v>
      </c>
      <c r="H133" s="545"/>
      <c r="I133" s="503">
        <f>SUM(I128:I132)</f>
        <v>0</v>
      </c>
      <c r="J133" s="774">
        <f>SUM(J128:K132)</f>
        <v>0</v>
      </c>
      <c r="K133" s="775"/>
      <c r="L133" s="890">
        <f>SUM(L128:M132)</f>
        <v>0</v>
      </c>
      <c r="M133" s="891"/>
      <c r="N133" s="540"/>
      <c r="O133" s="492"/>
      <c r="P133" s="579"/>
      <c r="Q133" s="259"/>
      <c r="R133" s="261"/>
      <c r="S133" s="261"/>
      <c r="T133" s="3"/>
      <c r="U133" s="92"/>
      <c r="V133" s="92"/>
      <c r="W133" s="688"/>
      <c r="X133" s="688"/>
      <c r="Y133" s="92"/>
      <c r="Z133" s="92"/>
      <c r="AA133" s="92"/>
      <c r="AB133" s="92"/>
      <c r="AC133" s="92"/>
      <c r="AD133" s="92"/>
      <c r="AE133" s="92"/>
    </row>
    <row r="134" spans="1:31" ht="11.25" customHeight="1" x14ac:dyDescent="0.15">
      <c r="A134" s="3"/>
      <c r="B134" s="259"/>
      <c r="C134" s="542"/>
      <c r="D134" s="808"/>
      <c r="E134" s="809"/>
      <c r="F134" s="810"/>
      <c r="G134" s="446" t="s">
        <v>178</v>
      </c>
      <c r="H134" s="546"/>
      <c r="I134" s="263" t="s">
        <v>178</v>
      </c>
      <c r="J134" s="763" t="s">
        <v>186</v>
      </c>
      <c r="K134" s="764"/>
      <c r="L134" s="791" t="s">
        <v>187</v>
      </c>
      <c r="M134" s="792"/>
      <c r="N134" s="540"/>
      <c r="O134" s="492"/>
      <c r="P134" s="579"/>
      <c r="Q134" s="259"/>
      <c r="R134" s="261"/>
      <c r="S134" s="261"/>
      <c r="T134" s="3"/>
      <c r="U134" s="92"/>
      <c r="V134" s="92"/>
      <c r="W134" s="688"/>
      <c r="X134" s="688"/>
      <c r="Y134" s="92"/>
      <c r="Z134" s="92"/>
      <c r="AA134" s="92"/>
      <c r="AB134" s="92"/>
      <c r="AC134" s="92"/>
      <c r="AD134" s="92"/>
      <c r="AE134" s="92"/>
    </row>
    <row r="135" spans="1:31" ht="11.25" customHeight="1" x14ac:dyDescent="0.15">
      <c r="A135" s="3"/>
      <c r="B135" s="259"/>
      <c r="C135" s="757" t="str">
        <f ca="1">IF((SUMIF(D128:E132,"(blank)",I128:I132)=0),"","Der er indberettet en besparelse af en ikke-defineret materiale.")</f>
        <v/>
      </c>
      <c r="D135" s="758"/>
      <c r="E135" s="758"/>
      <c r="F135" s="758"/>
      <c r="G135" s="758"/>
      <c r="H135" s="758"/>
      <c r="I135" s="758"/>
      <c r="J135" s="758"/>
      <c r="K135" s="758"/>
      <c r="L135" s="758"/>
      <c r="M135" s="758"/>
      <c r="N135" s="759"/>
      <c r="O135" s="494"/>
      <c r="P135" s="579"/>
      <c r="Q135" s="259"/>
      <c r="R135" s="264"/>
      <c r="S135" s="264"/>
      <c r="T135" s="3"/>
      <c r="U135" s="92"/>
      <c r="V135" s="92"/>
      <c r="W135" s="688"/>
      <c r="X135" s="688"/>
      <c r="Y135" s="92"/>
      <c r="Z135" s="92"/>
      <c r="AA135" s="92"/>
      <c r="AB135" s="92"/>
      <c r="AC135" s="92"/>
      <c r="AD135" s="92"/>
      <c r="AE135" s="92"/>
    </row>
    <row r="136" spans="1:31" x14ac:dyDescent="0.15">
      <c r="A136" s="3"/>
      <c r="B136" s="259"/>
      <c r="C136" s="760"/>
      <c r="D136" s="761"/>
      <c r="E136" s="761"/>
      <c r="F136" s="761"/>
      <c r="G136" s="761"/>
      <c r="H136" s="761"/>
      <c r="I136" s="761"/>
      <c r="J136" s="761"/>
      <c r="K136" s="761"/>
      <c r="L136" s="761"/>
      <c r="M136" s="761"/>
      <c r="N136" s="762"/>
      <c r="O136" s="494"/>
      <c r="P136" s="579"/>
      <c r="Q136" s="259"/>
      <c r="R136" s="264"/>
      <c r="S136" s="264"/>
      <c r="T136" s="3"/>
      <c r="U136" s="92"/>
      <c r="V136" s="92"/>
      <c r="W136" s="688"/>
      <c r="X136" s="688"/>
      <c r="Y136" s="92"/>
      <c r="Z136" s="92"/>
      <c r="AA136" s="92"/>
      <c r="AB136" s="92"/>
      <c r="AC136" s="92"/>
      <c r="AD136" s="92"/>
      <c r="AE136" s="92"/>
    </row>
    <row r="137" spans="1:31" x14ac:dyDescent="0.15">
      <c r="A137" s="3"/>
      <c r="B137" s="259"/>
      <c r="C137" s="259"/>
      <c r="D137" s="259"/>
      <c r="E137" s="259"/>
      <c r="F137" s="259"/>
      <c r="G137" s="259"/>
      <c r="H137" s="259"/>
      <c r="I137" s="259"/>
      <c r="J137" s="253"/>
      <c r="K137" s="253"/>
      <c r="L137" s="253"/>
      <c r="M137" s="253"/>
      <c r="N137" s="253"/>
      <c r="O137" s="253"/>
      <c r="P137" s="580"/>
      <c r="Q137" s="259"/>
      <c r="R137" s="253"/>
      <c r="S137" s="253"/>
      <c r="T137" s="3"/>
      <c r="U137" s="92"/>
      <c r="V137" s="92"/>
      <c r="W137" s="688"/>
      <c r="X137" s="688"/>
      <c r="Y137" s="92"/>
      <c r="Z137" s="92"/>
      <c r="AA137" s="92"/>
      <c r="AB137" s="92"/>
      <c r="AC137" s="92"/>
      <c r="AD137" s="92"/>
      <c r="AE137" s="92"/>
    </row>
    <row r="138" spans="1:31" x14ac:dyDescent="0.15">
      <c r="A138" s="3"/>
      <c r="B138" s="259"/>
      <c r="C138" s="272" t="s">
        <v>188</v>
      </c>
      <c r="D138" s="259"/>
      <c r="E138" s="259"/>
      <c r="F138" s="259"/>
      <c r="G138" s="259"/>
      <c r="H138" s="259"/>
      <c r="I138" s="259"/>
      <c r="J138" s="259"/>
      <c r="K138" s="259"/>
      <c r="L138" s="259"/>
      <c r="M138" s="259"/>
      <c r="N138" s="259"/>
      <c r="O138" s="259"/>
      <c r="P138" s="447"/>
      <c r="Q138" s="259"/>
      <c r="R138" s="259"/>
      <c r="S138" s="259"/>
      <c r="T138" s="13"/>
      <c r="U138" s="92"/>
      <c r="V138" s="92"/>
      <c r="W138" s="688"/>
      <c r="X138" s="688"/>
      <c r="Y138" s="92"/>
      <c r="Z138" s="92"/>
      <c r="AA138" s="92"/>
      <c r="AB138" s="92"/>
      <c r="AC138" s="92"/>
      <c r="AD138" s="92"/>
      <c r="AE138" s="92"/>
    </row>
    <row r="139" spans="1:31" x14ac:dyDescent="0.15">
      <c r="A139" s="3"/>
      <c r="B139" s="259"/>
      <c r="C139" s="259" t="str">
        <f>CONCATENATE("Hvor meget, og hvilken slags energi bliver der sparet i ét stk. produkt i produktets brugsfase ",C119,"?")</f>
        <v>Hvor meget, og hvilken slags energi bliver der sparet i ét stk. produkt i produktets brugsfase over produktets levetid?</v>
      </c>
      <c r="D139" s="259"/>
      <c r="E139" s="259"/>
      <c r="F139" s="259"/>
      <c r="G139" s="259"/>
      <c r="H139" s="259"/>
      <c r="I139" s="253"/>
      <c r="J139" s="259"/>
      <c r="K139" s="259"/>
      <c r="L139" s="259"/>
      <c r="M139" s="259"/>
      <c r="N139" s="259"/>
      <c r="O139" s="259"/>
      <c r="P139" s="259"/>
      <c r="Q139" s="259"/>
      <c r="R139" s="259"/>
      <c r="S139" s="259"/>
      <c r="T139" s="3"/>
      <c r="U139" s="4">
        <f>U65</f>
        <v>0</v>
      </c>
      <c r="V139" s="92"/>
      <c r="W139" s="92"/>
      <c r="X139" s="92"/>
      <c r="Y139" s="92"/>
      <c r="Z139" s="92"/>
      <c r="AA139" s="92"/>
      <c r="AB139" s="92"/>
      <c r="AC139" s="92"/>
      <c r="AD139" s="92"/>
      <c r="AE139" s="92"/>
    </row>
    <row r="140" spans="1:31" x14ac:dyDescent="0.15">
      <c r="A140" s="3"/>
      <c r="B140" s="259"/>
      <c r="C140" s="259" t="s">
        <v>189</v>
      </c>
      <c r="D140" s="259"/>
      <c r="E140" s="259"/>
      <c r="F140" s="259"/>
      <c r="G140" s="259"/>
      <c r="H140" s="259"/>
      <c r="I140" s="259"/>
      <c r="J140" s="259"/>
      <c r="K140" s="259"/>
      <c r="L140" s="259"/>
      <c r="M140" s="259"/>
      <c r="N140" s="259"/>
      <c r="O140" s="259"/>
      <c r="P140" s="259"/>
      <c r="Q140" s="259"/>
      <c r="R140" s="259"/>
      <c r="S140" s="259"/>
      <c r="T140" s="3"/>
      <c r="U140" s="92"/>
      <c r="V140" s="92"/>
      <c r="W140" s="92"/>
      <c r="X140" s="92"/>
      <c r="Y140" s="92"/>
      <c r="Z140" s="92"/>
      <c r="AA140" s="92"/>
      <c r="AB140" s="92"/>
      <c r="AC140" s="92"/>
      <c r="AD140" s="92"/>
      <c r="AE140" s="92"/>
    </row>
    <row r="141" spans="1:31" x14ac:dyDescent="0.15">
      <c r="A141" s="3"/>
      <c r="B141" s="259"/>
      <c r="C141" s="259"/>
      <c r="D141" s="259"/>
      <c r="E141" s="259"/>
      <c r="F141" s="259"/>
      <c r="G141" s="259"/>
      <c r="H141" s="259"/>
      <c r="I141" s="259"/>
      <c r="J141" s="259"/>
      <c r="K141" s="259"/>
      <c r="L141" s="259"/>
      <c r="M141" s="259"/>
      <c r="N141" s="259"/>
      <c r="O141" s="259"/>
      <c r="P141" s="259"/>
      <c r="Q141" s="259"/>
      <c r="R141" s="259"/>
      <c r="S141" s="259"/>
      <c r="T141" s="3"/>
      <c r="U141" s="92"/>
      <c r="V141" s="92"/>
      <c r="W141" s="92"/>
      <c r="X141" s="92"/>
      <c r="Y141" s="92"/>
      <c r="Z141" s="92"/>
      <c r="AA141" s="92"/>
      <c r="AB141" s="92"/>
      <c r="AC141" s="92"/>
      <c r="AD141" s="92"/>
      <c r="AE141" s="92"/>
    </row>
    <row r="142" spans="1:31" x14ac:dyDescent="0.15">
      <c r="A142" s="3"/>
      <c r="B142" s="259"/>
      <c r="C142" s="536"/>
      <c r="D142" s="537"/>
      <c r="E142" s="537"/>
      <c r="F142" s="537"/>
      <c r="G142" s="537"/>
      <c r="H142" s="537"/>
      <c r="I142" s="537"/>
      <c r="J142" s="537"/>
      <c r="K142" s="537"/>
      <c r="L142" s="538"/>
      <c r="M142" s="538"/>
      <c r="N142" s="538"/>
      <c r="O142" s="538"/>
      <c r="P142" s="538"/>
      <c r="Q142" s="538"/>
      <c r="R142" s="539"/>
      <c r="S142" s="261"/>
      <c r="T142" s="3"/>
      <c r="U142" s="92"/>
      <c r="V142" s="92"/>
      <c r="W142" s="92"/>
      <c r="X142" s="92"/>
      <c r="Y142" s="92"/>
      <c r="Z142" s="92"/>
      <c r="AA142" s="92"/>
      <c r="AB142" s="92"/>
      <c r="AC142" s="92"/>
      <c r="AD142" s="92"/>
      <c r="AE142" s="92"/>
    </row>
    <row r="143" spans="1:31" ht="29.25" customHeight="1" x14ac:dyDescent="0.15">
      <c r="A143" s="3"/>
      <c r="B143" s="259"/>
      <c r="C143" s="541"/>
      <c r="D143" s="802" t="str">
        <f>CONCATENATE("Energi sparet ",$C$119)</f>
        <v>Energi sparet over produktets levetid</v>
      </c>
      <c r="E143" s="803"/>
      <c r="F143" s="804"/>
      <c r="G143" s="240">
        <f>IF(SUMPRODUCT(--ISNUMBER(SEARCH(Dropdowns!H33:H35,Effektmåling!D144)))+SUMPRODUCT(--ISNUMBER(SEARCH(Dropdowns!H33:H35,Effektmåling!D145)))+SUMPRODUCT(--ISNUMBER(SEARCH(Dropdowns!H33:H35,Effektmåling!D146)))+SUMPRODUCT(--ISNUMBER(SEARCH(Dropdowns!H33:H35,Effektmåling!D147)))+SUMPRODUCT(--ISNUMBER(SEARCH(Dropdowns!H33:H35,Effektmåling!D148))),"Tast % biobr, fx 5",0)</f>
        <v>0</v>
      </c>
      <c r="H143" s="206" t="s">
        <v>171</v>
      </c>
      <c r="I143" s="496" t="s">
        <v>599</v>
      </c>
      <c r="J143" s="823" t="s">
        <v>160</v>
      </c>
      <c r="K143" s="824"/>
      <c r="L143" s="773" t="s">
        <v>162</v>
      </c>
      <c r="M143" s="669"/>
      <c r="N143" s="834" t="s">
        <v>163</v>
      </c>
      <c r="O143" s="834"/>
      <c r="P143" s="689" t="s">
        <v>173</v>
      </c>
      <c r="Q143" s="689"/>
      <c r="R143" s="575"/>
      <c r="S143" s="261"/>
      <c r="T143" s="3"/>
      <c r="U143" s="92"/>
      <c r="V143" s="92"/>
      <c r="W143" s="92"/>
      <c r="X143" s="92"/>
      <c r="Y143" s="92"/>
      <c r="Z143" s="92"/>
      <c r="AA143" s="92"/>
      <c r="AB143" s="92"/>
      <c r="AC143" s="92"/>
      <c r="AD143" s="92"/>
      <c r="AE143" s="92"/>
    </row>
    <row r="144" spans="1:31" ht="11.25" customHeight="1" x14ac:dyDescent="0.15">
      <c r="A144" s="3"/>
      <c r="B144" s="259"/>
      <c r="C144" s="542"/>
      <c r="D144" s="672" t="s">
        <v>145</v>
      </c>
      <c r="E144" s="673"/>
      <c r="F144" s="674"/>
      <c r="G144" s="493"/>
      <c r="H144" s="491"/>
      <c r="I144" s="491"/>
      <c r="J144" s="811">
        <f>H144-I144</f>
        <v>0</v>
      </c>
      <c r="K144" s="812"/>
      <c r="L144" s="718" t="str">
        <f>(IF($D144="(Blank)","",(1-G144%)*VLOOKUP($D144,'DB energi'!$B$6:$M$37,9,FALSE)))</f>
        <v/>
      </c>
      <c r="M144" s="719"/>
      <c r="N144" s="692" t="str">
        <f>IF($D144="(Blank)","",VLOOKUP($D144,'DB energi'!$B$6:$M$37,11,FALSE))</f>
        <v/>
      </c>
      <c r="O144" s="693"/>
      <c r="P144" s="690">
        <f>IF($D144="(Blank)",0,VLOOKUP($D144,'DB energi'!$AE$6:$AI$37,5,FALSE)*$I144)</f>
        <v>0</v>
      </c>
      <c r="Q144" s="690"/>
      <c r="R144" s="575"/>
      <c r="S144" s="261"/>
      <c r="T144" s="3"/>
      <c r="U144" s="92"/>
      <c r="V144" s="92"/>
      <c r="W144" s="92"/>
      <c r="X144" s="92"/>
      <c r="Y144" s="92"/>
      <c r="Z144" s="92"/>
      <c r="AA144" s="92"/>
      <c r="AB144" s="92"/>
      <c r="AC144" s="92"/>
      <c r="AD144" s="92"/>
      <c r="AE144" s="92"/>
    </row>
    <row r="145" spans="1:31" x14ac:dyDescent="0.15">
      <c r="A145" s="3"/>
      <c r="B145" s="259"/>
      <c r="C145" s="542"/>
      <c r="D145" s="672" t="s">
        <v>145</v>
      </c>
      <c r="E145" s="673"/>
      <c r="F145" s="674"/>
      <c r="G145" s="493"/>
      <c r="H145" s="491"/>
      <c r="I145" s="491"/>
      <c r="J145" s="811">
        <f t="shared" ref="J145:J148" si="4">H145-I145</f>
        <v>0</v>
      </c>
      <c r="K145" s="812"/>
      <c r="L145" s="718" t="str">
        <f>(IF($D145="(Blank)","",(1-G145%)*VLOOKUP($D145,'DB energi'!$B$6:$M$37,9,FALSE)))</f>
        <v/>
      </c>
      <c r="M145" s="719"/>
      <c r="N145" s="692" t="str">
        <f>IF($D145="(Blank)","",VLOOKUP($D145,'DB energi'!$B$6:$M$37,11,FALSE))</f>
        <v/>
      </c>
      <c r="O145" s="693"/>
      <c r="P145" s="690"/>
      <c r="Q145" s="690">
        <f>IF($D145="(Blank)",0,VLOOKUP($D145,'DB energi'!$AE$6:$AI$37,5,FALSE)*$I145)</f>
        <v>0</v>
      </c>
      <c r="R145" s="575"/>
      <c r="S145" s="261"/>
      <c r="T145" s="3"/>
      <c r="U145" s="92"/>
      <c r="V145" s="92"/>
      <c r="W145" s="92"/>
      <c r="X145" s="92"/>
      <c r="Y145" s="92"/>
      <c r="Z145" s="92"/>
      <c r="AA145" s="92"/>
      <c r="AB145" s="92"/>
      <c r="AC145" s="92"/>
      <c r="AD145" s="92"/>
      <c r="AE145" s="92"/>
    </row>
    <row r="146" spans="1:31" x14ac:dyDescent="0.15">
      <c r="A146" s="3"/>
      <c r="B146" s="259"/>
      <c r="C146" s="542"/>
      <c r="D146" s="672" t="s">
        <v>145</v>
      </c>
      <c r="E146" s="673"/>
      <c r="F146" s="674"/>
      <c r="G146" s="493"/>
      <c r="H146" s="491"/>
      <c r="I146" s="491"/>
      <c r="J146" s="811">
        <f t="shared" si="4"/>
        <v>0</v>
      </c>
      <c r="K146" s="812"/>
      <c r="L146" s="718" t="str">
        <f>(IF($D146="(Blank)","",(1-G146%)*VLOOKUP($D146,'DB energi'!$B$6:$M$37,9,FALSE)))</f>
        <v/>
      </c>
      <c r="M146" s="719"/>
      <c r="N146" s="692" t="str">
        <f>IF($D146="(Blank)","",VLOOKUP($D146,'DB energi'!$B$6:$M$37,11,FALSE))</f>
        <v/>
      </c>
      <c r="O146" s="693"/>
      <c r="P146" s="690">
        <f>IF($D146="(Blank)",0,VLOOKUP($D146,'DB energi'!$AE$6:$AI$37,5,FALSE)*$I146)</f>
        <v>0</v>
      </c>
      <c r="Q146" s="690"/>
      <c r="R146" s="575"/>
      <c r="S146" s="261"/>
      <c r="T146" s="3"/>
      <c r="U146" s="92"/>
      <c r="V146" s="92"/>
      <c r="W146" s="92"/>
      <c r="X146" s="92"/>
      <c r="Y146" s="92"/>
      <c r="Z146" s="92"/>
      <c r="AA146" s="92"/>
      <c r="AB146" s="92"/>
      <c r="AC146" s="92"/>
      <c r="AD146" s="92"/>
      <c r="AE146" s="92"/>
    </row>
    <row r="147" spans="1:31" x14ac:dyDescent="0.15">
      <c r="A147" s="3"/>
      <c r="B147" s="259"/>
      <c r="C147" s="542"/>
      <c r="D147" s="672" t="s">
        <v>145</v>
      </c>
      <c r="E147" s="673"/>
      <c r="F147" s="674"/>
      <c r="G147" s="493"/>
      <c r="H147" s="491"/>
      <c r="I147" s="491"/>
      <c r="J147" s="811">
        <f t="shared" si="4"/>
        <v>0</v>
      </c>
      <c r="K147" s="812"/>
      <c r="L147" s="718" t="str">
        <f>(IF($D147="(Blank)","",(1-G147%)*VLOOKUP($D147,'DB energi'!$B$6:$M$37,9,FALSE)))</f>
        <v/>
      </c>
      <c r="M147" s="719"/>
      <c r="N147" s="692" t="str">
        <f>IF($D147="(Blank)","",VLOOKUP($D147,'DB energi'!$B$6:$M$37,11,FALSE))</f>
        <v/>
      </c>
      <c r="O147" s="693"/>
      <c r="P147" s="690">
        <f>IF($D147="(Blank)",0,VLOOKUP($D147,'DB energi'!$AE$6:$AI$37,5,FALSE)*$I147)</f>
        <v>0</v>
      </c>
      <c r="Q147" s="690"/>
      <c r="R147" s="575"/>
      <c r="S147" s="261"/>
      <c r="T147" s="3"/>
      <c r="U147" s="92"/>
      <c r="V147" s="92"/>
      <c r="W147" s="92"/>
      <c r="X147" s="92"/>
      <c r="Y147" s="92"/>
      <c r="Z147" s="92"/>
      <c r="AA147" s="92"/>
      <c r="AB147" s="92"/>
      <c r="AC147" s="92"/>
      <c r="AD147" s="92"/>
      <c r="AE147" s="92"/>
    </row>
    <row r="148" spans="1:31" x14ac:dyDescent="0.15">
      <c r="A148" s="3"/>
      <c r="B148" s="259"/>
      <c r="C148" s="542"/>
      <c r="D148" s="672" t="s">
        <v>145</v>
      </c>
      <c r="E148" s="673"/>
      <c r="F148" s="674"/>
      <c r="G148" s="493"/>
      <c r="H148" s="491"/>
      <c r="I148" s="491"/>
      <c r="J148" s="811">
        <f t="shared" si="4"/>
        <v>0</v>
      </c>
      <c r="K148" s="812"/>
      <c r="L148" s="718" t="str">
        <f>(IF($D148="(Blank)","",(1-G148%)*VLOOKUP($D148,'DB energi'!$B$6:$M$37,9,FALSE)))</f>
        <v/>
      </c>
      <c r="M148" s="719"/>
      <c r="N148" s="692" t="str">
        <f>IF($D148="(Blank)","",VLOOKUP($D148,'DB energi'!$B$6:$M$37,11,FALSE))</f>
        <v/>
      </c>
      <c r="O148" s="693"/>
      <c r="P148" s="691">
        <f>IF($D148="(Blank)",0,VLOOKUP($D148,'DB energi'!$AE$6:$AI$37,5,FALSE)*$I148)</f>
        <v>0</v>
      </c>
      <c r="Q148" s="691"/>
      <c r="R148" s="575"/>
      <c r="S148" s="261"/>
      <c r="T148" s="3"/>
      <c r="U148" s="92"/>
      <c r="V148" s="92"/>
      <c r="W148" s="92"/>
      <c r="X148" s="92"/>
      <c r="Y148" s="92"/>
      <c r="Z148" s="92"/>
      <c r="AA148" s="92"/>
      <c r="AB148" s="92"/>
      <c r="AC148" s="92"/>
      <c r="AD148" s="92"/>
      <c r="AE148" s="92"/>
    </row>
    <row r="149" spans="1:31" ht="11.25" customHeight="1" x14ac:dyDescent="0.15">
      <c r="A149" s="3"/>
      <c r="B149" s="259"/>
      <c r="C149" s="542"/>
      <c r="D149" s="706" t="s">
        <v>164</v>
      </c>
      <c r="E149" s="707"/>
      <c r="F149" s="708"/>
      <c r="G149" s="712"/>
      <c r="H149" s="713"/>
      <c r="I149" s="713"/>
      <c r="J149" s="713"/>
      <c r="K149" s="714"/>
      <c r="L149" s="720">
        <f>SUM(L144:M148)</f>
        <v>0</v>
      </c>
      <c r="M149" s="721"/>
      <c r="N149" s="686">
        <f>SUM(N144:O148)</f>
        <v>0</v>
      </c>
      <c r="O149" s="687"/>
      <c r="P149" s="696">
        <f>SUM(P144:Q148)</f>
        <v>0</v>
      </c>
      <c r="Q149" s="697"/>
      <c r="R149" s="575"/>
      <c r="S149" s="261"/>
      <c r="T149" s="13"/>
      <c r="U149" s="92"/>
      <c r="V149" s="92"/>
      <c r="W149" s="92"/>
      <c r="X149" s="92"/>
      <c r="Y149" s="92"/>
      <c r="Z149" s="92"/>
      <c r="AA149" s="92"/>
      <c r="AB149" s="92"/>
      <c r="AC149" s="92"/>
      <c r="AD149" s="92"/>
      <c r="AE149" s="92"/>
    </row>
    <row r="150" spans="1:31" ht="11.25" customHeight="1" x14ac:dyDescent="0.15">
      <c r="A150" s="3"/>
      <c r="B150" s="259"/>
      <c r="C150" s="542"/>
      <c r="D150" s="709"/>
      <c r="E150" s="710"/>
      <c r="F150" s="711"/>
      <c r="G150" s="715"/>
      <c r="H150" s="716"/>
      <c r="I150" s="716"/>
      <c r="J150" s="716"/>
      <c r="K150" s="717"/>
      <c r="L150" s="722" t="s">
        <v>190</v>
      </c>
      <c r="M150" s="648"/>
      <c r="N150" s="649" t="s">
        <v>187</v>
      </c>
      <c r="O150" s="651"/>
      <c r="P150" s="680" t="s">
        <v>21</v>
      </c>
      <c r="Q150" s="681"/>
      <c r="R150" s="575"/>
      <c r="S150" s="261"/>
      <c r="T150" s="3"/>
      <c r="U150" s="92"/>
      <c r="V150" s="92"/>
      <c r="W150" s="92"/>
      <c r="X150" s="92"/>
      <c r="Y150" s="92"/>
      <c r="Z150" s="92"/>
      <c r="AA150" s="92"/>
      <c r="AB150" s="92"/>
      <c r="AC150" s="92"/>
      <c r="AD150" s="92"/>
      <c r="AE150" s="92"/>
    </row>
    <row r="151" spans="1:31" ht="11.25" customHeight="1" x14ac:dyDescent="0.15">
      <c r="A151" s="3"/>
      <c r="B151" s="259"/>
      <c r="C151" s="700" t="str">
        <f ca="1">IF((SUMIF(D144:E148,"(blank)",J144:J148)=0),"","Der er indberettet en besparelse af en ikke-defineret energikilde.")</f>
        <v/>
      </c>
      <c r="D151" s="701"/>
      <c r="E151" s="701"/>
      <c r="F151" s="701"/>
      <c r="G151" s="701"/>
      <c r="H151" s="701"/>
      <c r="I151" s="701"/>
      <c r="J151" s="701"/>
      <c r="K151" s="701"/>
      <c r="L151" s="701"/>
      <c r="M151" s="701"/>
      <c r="N151" s="701"/>
      <c r="O151" s="701"/>
      <c r="P151" s="701"/>
      <c r="Q151" s="701"/>
      <c r="R151" s="702"/>
      <c r="S151" s="264"/>
      <c r="T151" s="3"/>
      <c r="U151" s="92"/>
      <c r="V151" s="92"/>
      <c r="W151" s="92"/>
      <c r="X151" s="92"/>
      <c r="Y151" s="92"/>
      <c r="Z151" s="92"/>
      <c r="AA151" s="92"/>
      <c r="AB151" s="92"/>
      <c r="AC151" s="92"/>
      <c r="AD151" s="92"/>
      <c r="AE151" s="92"/>
    </row>
    <row r="152" spans="1:31" x14ac:dyDescent="0.15">
      <c r="A152" s="3"/>
      <c r="B152" s="259"/>
      <c r="C152" s="703"/>
      <c r="D152" s="704"/>
      <c r="E152" s="704"/>
      <c r="F152" s="704"/>
      <c r="G152" s="704"/>
      <c r="H152" s="704"/>
      <c r="I152" s="704"/>
      <c r="J152" s="704"/>
      <c r="K152" s="704"/>
      <c r="L152" s="704"/>
      <c r="M152" s="704"/>
      <c r="N152" s="704"/>
      <c r="O152" s="704"/>
      <c r="P152" s="704"/>
      <c r="Q152" s="704"/>
      <c r="R152" s="705"/>
      <c r="S152" s="264"/>
      <c r="T152" s="3"/>
      <c r="U152" s="92"/>
      <c r="V152" s="92"/>
      <c r="W152" s="92"/>
      <c r="X152" s="92"/>
      <c r="Y152" s="92"/>
      <c r="Z152" s="92"/>
      <c r="AA152" s="92"/>
      <c r="AB152" s="92"/>
      <c r="AC152" s="92"/>
      <c r="AD152" s="92"/>
      <c r="AE152" s="92"/>
    </row>
    <row r="153" spans="1:31" x14ac:dyDescent="0.15">
      <c r="A153" s="3"/>
      <c r="B153" s="259"/>
      <c r="C153" s="253"/>
      <c r="D153" s="253"/>
      <c r="E153" s="253"/>
      <c r="F153" s="253"/>
      <c r="G153" s="253"/>
      <c r="H153" s="253"/>
      <c r="I153" s="253"/>
      <c r="J153" s="253"/>
      <c r="K153" s="253"/>
      <c r="L153" s="253"/>
      <c r="M153" s="253"/>
      <c r="N153" s="253"/>
      <c r="O153" s="253"/>
      <c r="P153" s="253"/>
      <c r="Q153" s="253"/>
      <c r="R153" s="253"/>
      <c r="S153" s="253"/>
      <c r="T153" s="3"/>
      <c r="U153" s="92"/>
      <c r="V153" s="92"/>
      <c r="W153" s="92"/>
      <c r="X153" s="92"/>
      <c r="Y153" s="92"/>
      <c r="Z153" s="92"/>
      <c r="AA153" s="92"/>
      <c r="AB153" s="92"/>
      <c r="AC153" s="92"/>
      <c r="AD153" s="92"/>
      <c r="AE153" s="92"/>
    </row>
    <row r="154" spans="1:31" ht="3.75" customHeight="1" x14ac:dyDescent="0.15">
      <c r="A154" s="3"/>
      <c r="B154" s="3"/>
      <c r="C154" s="93"/>
      <c r="D154" s="93"/>
      <c r="E154" s="93"/>
      <c r="F154" s="93"/>
      <c r="G154" s="93"/>
      <c r="H154" s="93"/>
      <c r="I154" s="93"/>
      <c r="J154" s="93"/>
      <c r="K154" s="93"/>
      <c r="L154" s="93"/>
      <c r="M154" s="93"/>
      <c r="N154" s="93"/>
      <c r="O154" s="93"/>
      <c r="P154" s="93"/>
      <c r="Q154" s="93"/>
      <c r="R154" s="93"/>
      <c r="S154" s="93"/>
      <c r="T154" s="3"/>
      <c r="U154" s="92"/>
      <c r="V154" s="92"/>
      <c r="W154" s="92"/>
      <c r="X154" s="92"/>
      <c r="Y154" s="92"/>
      <c r="Z154" s="92"/>
      <c r="AA154" s="92"/>
      <c r="AB154" s="92"/>
      <c r="AC154" s="92"/>
      <c r="AD154" s="92"/>
      <c r="AE154" s="92"/>
    </row>
    <row r="155" spans="1:31" s="182" customFormat="1" x14ac:dyDescent="0.15">
      <c r="A155" s="93"/>
      <c r="B155" s="253"/>
      <c r="C155" s="253"/>
      <c r="D155" s="274"/>
      <c r="E155" s="253"/>
      <c r="F155" s="253"/>
      <c r="G155" s="253"/>
      <c r="H155" s="253"/>
      <c r="I155" s="253"/>
      <c r="J155" s="253"/>
      <c r="K155" s="253"/>
      <c r="L155" s="253"/>
      <c r="M155" s="253"/>
      <c r="N155" s="253"/>
      <c r="O155" s="253"/>
      <c r="P155" s="253"/>
      <c r="Q155" s="253"/>
      <c r="R155" s="253"/>
      <c r="S155" s="253"/>
      <c r="T155" s="93"/>
      <c r="U155" s="2"/>
      <c r="V155" s="2"/>
      <c r="W155" s="2"/>
      <c r="X155" s="2"/>
      <c r="Y155" s="2"/>
      <c r="Z155" s="2"/>
      <c r="AA155" s="2"/>
      <c r="AB155" s="2"/>
      <c r="AC155" s="2"/>
      <c r="AD155" s="2"/>
      <c r="AE155" s="2"/>
    </row>
    <row r="156" spans="1:31" ht="14.25" x14ac:dyDescent="0.2">
      <c r="A156" s="3"/>
      <c r="B156" s="259"/>
      <c r="C156" s="276" t="s">
        <v>591</v>
      </c>
      <c r="D156" s="259"/>
      <c r="E156" s="259"/>
      <c r="F156" s="259"/>
      <c r="G156" s="259"/>
      <c r="H156" s="259"/>
      <c r="I156" s="259"/>
      <c r="J156" s="259"/>
      <c r="K156" s="259"/>
      <c r="L156" s="259"/>
      <c r="M156" s="259"/>
      <c r="N156" s="259"/>
      <c r="O156" s="259"/>
      <c r="P156" s="259"/>
      <c r="Q156" s="259"/>
      <c r="R156" s="259"/>
      <c r="S156" s="259"/>
      <c r="T156" s="3"/>
      <c r="U156" s="92"/>
      <c r="V156" s="92"/>
      <c r="W156" s="92"/>
      <c r="X156" s="92"/>
      <c r="Y156" s="92"/>
      <c r="Z156" s="92"/>
      <c r="AA156" s="92"/>
      <c r="AB156" s="92"/>
      <c r="AC156" s="92"/>
      <c r="AD156" s="92"/>
      <c r="AE156" s="92"/>
    </row>
    <row r="157" spans="1:31" ht="14.25" x14ac:dyDescent="0.2">
      <c r="A157" s="3"/>
      <c r="B157" s="259"/>
      <c r="C157" s="276"/>
      <c r="D157" s="259"/>
      <c r="E157" s="259"/>
      <c r="F157" s="259"/>
      <c r="G157" s="259"/>
      <c r="H157" s="259"/>
      <c r="I157" s="259"/>
      <c r="J157" s="259"/>
      <c r="K157" s="259"/>
      <c r="L157" s="259"/>
      <c r="M157" s="259"/>
      <c r="N157" s="259"/>
      <c r="O157" s="259"/>
      <c r="P157" s="259"/>
      <c r="Q157" s="259"/>
      <c r="R157" s="259"/>
      <c r="S157" s="259"/>
      <c r="T157" s="3"/>
      <c r="U157" s="92"/>
      <c r="V157" s="92"/>
      <c r="W157" s="92"/>
      <c r="X157" s="92"/>
      <c r="Y157" s="92"/>
      <c r="Z157" s="92"/>
      <c r="AA157" s="92"/>
      <c r="AB157" s="92"/>
      <c r="AC157" s="92"/>
      <c r="AD157" s="92"/>
      <c r="AE157" s="92"/>
    </row>
    <row r="158" spans="1:31" x14ac:dyDescent="0.15">
      <c r="A158" s="3"/>
      <c r="B158" s="259"/>
      <c r="C158" s="272" t="s">
        <v>592</v>
      </c>
      <c r="D158" s="259"/>
      <c r="E158" s="259"/>
      <c r="F158" s="259"/>
      <c r="G158" s="259"/>
      <c r="H158" s="259"/>
      <c r="I158" s="259"/>
      <c r="J158" s="259"/>
      <c r="K158" s="259"/>
      <c r="L158" s="259"/>
      <c r="M158" s="259"/>
      <c r="N158" s="259"/>
      <c r="O158" s="259"/>
      <c r="P158" s="259"/>
      <c r="Q158" s="259"/>
      <c r="R158" s="259"/>
      <c r="S158" s="259"/>
      <c r="T158" s="3"/>
      <c r="U158" s="92"/>
      <c r="V158" s="92"/>
      <c r="W158" s="92"/>
      <c r="X158" s="92"/>
      <c r="Y158" s="92"/>
      <c r="Z158" s="92"/>
      <c r="AA158" s="92"/>
      <c r="AB158" s="92"/>
      <c r="AC158" s="92"/>
      <c r="AD158" s="92"/>
      <c r="AE158" s="92"/>
    </row>
    <row r="159" spans="1:31" x14ac:dyDescent="0.15">
      <c r="A159" s="3"/>
      <c r="B159" s="259"/>
      <c r="C159" s="259" t="s">
        <v>602</v>
      </c>
      <c r="D159" s="259"/>
      <c r="E159" s="259"/>
      <c r="F159" s="259"/>
      <c r="G159" s="259"/>
      <c r="H159" s="259"/>
      <c r="I159" s="259"/>
      <c r="J159" s="259"/>
      <c r="K159" s="259"/>
      <c r="L159" s="259"/>
      <c r="M159" s="259"/>
      <c r="N159" s="259"/>
      <c r="O159" s="259"/>
      <c r="P159" s="259"/>
      <c r="Q159" s="259"/>
      <c r="R159" s="259"/>
      <c r="S159" s="259"/>
      <c r="T159" s="3"/>
      <c r="U159" s="92"/>
      <c r="V159" s="92"/>
      <c r="W159" s="92"/>
      <c r="X159" s="92"/>
      <c r="Y159" s="92"/>
      <c r="Z159" s="92"/>
      <c r="AA159" s="92"/>
      <c r="AB159" s="92"/>
      <c r="AC159" s="92"/>
      <c r="AD159" s="92"/>
      <c r="AE159" s="92"/>
    </row>
    <row r="160" spans="1:31" x14ac:dyDescent="0.15">
      <c r="A160" s="3"/>
      <c r="B160" s="259"/>
      <c r="C160" s="259"/>
      <c r="D160" s="259"/>
      <c r="E160" s="259"/>
      <c r="F160" s="259"/>
      <c r="G160" s="259"/>
      <c r="H160" s="259"/>
      <c r="I160" s="259"/>
      <c r="J160" s="259"/>
      <c r="K160" s="259"/>
      <c r="L160" s="259"/>
      <c r="M160" s="259"/>
      <c r="N160" s="259"/>
      <c r="O160" s="259"/>
      <c r="P160" s="259"/>
      <c r="Q160" s="259"/>
      <c r="R160" s="259"/>
      <c r="S160" s="259"/>
      <c r="T160" s="3"/>
      <c r="U160" s="92"/>
      <c r="V160" s="92"/>
      <c r="W160" s="92"/>
      <c r="X160" s="92"/>
      <c r="Y160" s="92"/>
      <c r="Z160" s="92"/>
      <c r="AA160" s="92"/>
      <c r="AB160" s="92"/>
      <c r="AC160" s="92"/>
      <c r="AD160" s="92"/>
      <c r="AE160" s="92"/>
    </row>
    <row r="161" spans="1:31" x14ac:dyDescent="0.15">
      <c r="A161" s="3"/>
      <c r="B161" s="259"/>
      <c r="C161" s="543"/>
      <c r="D161" s="544"/>
      <c r="E161" s="544"/>
      <c r="F161" s="544"/>
      <c r="G161" s="544"/>
      <c r="H161" s="544"/>
      <c r="I161" s="544"/>
      <c r="J161" s="547"/>
      <c r="K161" s="544"/>
      <c r="L161" s="548"/>
      <c r="M161" s="538"/>
      <c r="N161" s="538"/>
      <c r="O161" s="538"/>
      <c r="P161" s="539"/>
      <c r="Q161" s="261"/>
      <c r="R161" s="261"/>
      <c r="S161" s="261"/>
      <c r="T161" s="3"/>
      <c r="U161" s="92"/>
      <c r="V161" s="92"/>
      <c r="W161" s="92"/>
      <c r="X161" s="92"/>
      <c r="Y161" s="92"/>
      <c r="Z161" s="92"/>
      <c r="AA161" s="92"/>
      <c r="AB161" s="92"/>
      <c r="AC161" s="92"/>
      <c r="AD161" s="92"/>
      <c r="AE161" s="92"/>
    </row>
    <row r="162" spans="1:31" ht="22.5" customHeight="1" x14ac:dyDescent="0.15">
      <c r="A162" s="3"/>
      <c r="B162" s="259"/>
      <c r="C162" s="542"/>
      <c r="D162" s="675" t="s">
        <v>191</v>
      </c>
      <c r="E162" s="676"/>
      <c r="F162" s="677"/>
      <c r="G162" s="322" t="s">
        <v>25</v>
      </c>
      <c r="H162" s="698" t="s">
        <v>590</v>
      </c>
      <c r="I162" s="699"/>
      <c r="J162" s="783" t="s">
        <v>193</v>
      </c>
      <c r="K162" s="783"/>
      <c r="L162" s="668" t="s">
        <v>162</v>
      </c>
      <c r="M162" s="669"/>
      <c r="N162" s="694" t="s">
        <v>163</v>
      </c>
      <c r="O162" s="695"/>
      <c r="P162" s="549"/>
      <c r="Q162" s="264"/>
      <c r="R162" s="264"/>
      <c r="S162" s="264"/>
      <c r="T162" s="3"/>
      <c r="U162" s="92"/>
      <c r="V162" s="92"/>
      <c r="W162" s="92"/>
      <c r="X162" s="92"/>
      <c r="Y162" s="92"/>
      <c r="Z162" s="92"/>
      <c r="AA162" s="92"/>
      <c r="AB162" s="92"/>
      <c r="AC162" s="92"/>
      <c r="AD162" s="92"/>
      <c r="AE162" s="92"/>
    </row>
    <row r="163" spans="1:31" ht="11.25" customHeight="1" x14ac:dyDescent="0.15">
      <c r="A163" s="3"/>
      <c r="B163" s="259"/>
      <c r="C163" s="542"/>
      <c r="D163" s="672" t="s">
        <v>145</v>
      </c>
      <c r="E163" s="673"/>
      <c r="F163" s="674"/>
      <c r="G163" s="491"/>
      <c r="H163" s="665" t="s">
        <v>145</v>
      </c>
      <c r="I163" s="666"/>
      <c r="J163" s="784">
        <f>G163</f>
        <v>0</v>
      </c>
      <c r="K163" s="784"/>
      <c r="L163" s="743" t="str">
        <f>IF($D163="(Blank)","",VLOOKUP($D163,'DB materialer'!$AM$137:$AQ$141,5,FALSE))</f>
        <v/>
      </c>
      <c r="M163" s="744"/>
      <c r="N163" s="643" t="str">
        <f>IF($D163="(Blank)","",VLOOKUP($D163,'DB materialer'!$BH$137:$BL$141,5,FALSE))</f>
        <v/>
      </c>
      <c r="O163" s="644"/>
      <c r="P163" s="550"/>
      <c r="Q163" s="300"/>
      <c r="R163" s="300"/>
      <c r="S163" s="300"/>
      <c r="T163" s="3"/>
      <c r="U163" s="92"/>
      <c r="V163" s="92"/>
      <c r="W163" s="92"/>
      <c r="X163" s="92"/>
      <c r="Y163" s="92"/>
      <c r="Z163" s="92"/>
      <c r="AA163" s="92"/>
      <c r="AB163" s="92"/>
      <c r="AC163" s="92"/>
      <c r="AD163" s="92"/>
      <c r="AE163" s="92"/>
    </row>
    <row r="164" spans="1:31" ht="11.25" customHeight="1" x14ac:dyDescent="0.15">
      <c r="A164" s="3"/>
      <c r="B164" s="259"/>
      <c r="C164" s="542"/>
      <c r="D164" s="672" t="s">
        <v>145</v>
      </c>
      <c r="E164" s="673"/>
      <c r="F164" s="674"/>
      <c r="G164" s="491"/>
      <c r="H164" s="665" t="s">
        <v>145</v>
      </c>
      <c r="I164" s="666"/>
      <c r="J164" s="784">
        <f t="shared" ref="J164:J167" si="5">G164</f>
        <v>0</v>
      </c>
      <c r="K164" s="784"/>
      <c r="L164" s="743" t="str">
        <f>IF($D164="(Blank)","",VLOOKUP($D164,'DB materialer'!$AM$137:$AQ$141,5,FALSE))</f>
        <v/>
      </c>
      <c r="M164" s="744"/>
      <c r="N164" s="643" t="str">
        <f>IF($D164="(Blank)","",VLOOKUP($D164,'DB materialer'!$BH$137:$BL$141,5,FALSE))</f>
        <v/>
      </c>
      <c r="O164" s="644"/>
      <c r="P164" s="550"/>
      <c r="Q164" s="300"/>
      <c r="R164" s="300"/>
      <c r="S164" s="300"/>
      <c r="T164" s="3"/>
      <c r="U164" s="92"/>
      <c r="V164" s="92"/>
      <c r="W164" s="92"/>
      <c r="X164" s="92"/>
      <c r="Y164" s="92"/>
      <c r="Z164" s="92"/>
      <c r="AA164" s="92"/>
      <c r="AB164" s="92"/>
      <c r="AC164" s="92"/>
      <c r="AD164" s="92"/>
      <c r="AE164" s="92"/>
    </row>
    <row r="165" spans="1:31" x14ac:dyDescent="0.15">
      <c r="A165" s="3"/>
      <c r="B165" s="259"/>
      <c r="C165" s="542"/>
      <c r="D165" s="672" t="s">
        <v>145</v>
      </c>
      <c r="E165" s="673"/>
      <c r="F165" s="674"/>
      <c r="G165" s="491"/>
      <c r="H165" s="665" t="s">
        <v>145</v>
      </c>
      <c r="I165" s="666"/>
      <c r="J165" s="784">
        <f t="shared" si="5"/>
        <v>0</v>
      </c>
      <c r="K165" s="784"/>
      <c r="L165" s="743" t="str">
        <f>IF($D165="(Blank)","",VLOOKUP($D165,'DB materialer'!$AM$137:$AQ$141,5,FALSE))</f>
        <v/>
      </c>
      <c r="M165" s="744"/>
      <c r="N165" s="643" t="str">
        <f>IF($D165="(Blank)","",VLOOKUP($D165,'DB materialer'!$BH$137:$BL$141,5,FALSE))</f>
        <v/>
      </c>
      <c r="O165" s="644"/>
      <c r="P165" s="550"/>
      <c r="Q165" s="300"/>
      <c r="R165" s="300"/>
      <c r="S165" s="300"/>
      <c r="T165" s="3"/>
      <c r="U165" s="92"/>
      <c r="V165" s="92"/>
      <c r="W165" s="92"/>
      <c r="X165" s="92"/>
      <c r="Y165" s="92"/>
      <c r="Z165" s="92"/>
      <c r="AA165" s="92"/>
      <c r="AB165" s="92"/>
      <c r="AC165" s="92"/>
      <c r="AD165" s="92"/>
      <c r="AE165" s="92"/>
    </row>
    <row r="166" spans="1:31" x14ac:dyDescent="0.15">
      <c r="A166" s="3"/>
      <c r="B166" s="259"/>
      <c r="C166" s="542"/>
      <c r="D166" s="672" t="s">
        <v>145</v>
      </c>
      <c r="E166" s="673"/>
      <c r="F166" s="674"/>
      <c r="G166" s="491"/>
      <c r="H166" s="665" t="s">
        <v>145</v>
      </c>
      <c r="I166" s="666"/>
      <c r="J166" s="784">
        <f t="shared" si="5"/>
        <v>0</v>
      </c>
      <c r="K166" s="784"/>
      <c r="L166" s="743" t="str">
        <f>IF($D166="(Blank)","",VLOOKUP($D166,'DB materialer'!$AM$137:$AQ$141,5,FALSE))</f>
        <v/>
      </c>
      <c r="M166" s="744"/>
      <c r="N166" s="643" t="str">
        <f>IF($D166="(Blank)","",VLOOKUP($D166,'DB materialer'!$BH$137:$BL$141,5,FALSE))</f>
        <v/>
      </c>
      <c r="O166" s="644"/>
      <c r="P166" s="550"/>
      <c r="Q166" s="300"/>
      <c r="R166" s="300"/>
      <c r="S166" s="300"/>
      <c r="T166" s="3"/>
      <c r="U166" s="92"/>
      <c r="V166" s="92"/>
      <c r="W166" s="92"/>
      <c r="X166" s="92"/>
      <c r="Y166" s="92"/>
      <c r="Z166" s="92"/>
      <c r="AA166" s="92"/>
      <c r="AB166" s="92"/>
      <c r="AC166" s="92"/>
      <c r="AD166" s="92"/>
      <c r="AE166" s="92"/>
    </row>
    <row r="167" spans="1:31" x14ac:dyDescent="0.15">
      <c r="A167" s="3"/>
      <c r="B167" s="259"/>
      <c r="C167" s="542"/>
      <c r="D167" s="672" t="s">
        <v>145</v>
      </c>
      <c r="E167" s="673"/>
      <c r="F167" s="674"/>
      <c r="G167" s="491"/>
      <c r="H167" s="665" t="s">
        <v>145</v>
      </c>
      <c r="I167" s="666"/>
      <c r="J167" s="784">
        <f t="shared" si="5"/>
        <v>0</v>
      </c>
      <c r="K167" s="784"/>
      <c r="L167" s="743" t="str">
        <f>IF($D167="(Blank)","",VLOOKUP($D167,'DB materialer'!$AM$137:$AQ$141,5,FALSE))</f>
        <v/>
      </c>
      <c r="M167" s="744"/>
      <c r="N167" s="643" t="str">
        <f>IF($D167="(Blank)","",VLOOKUP($D167,'DB materialer'!$BH$137:$BL$141,5,FALSE))</f>
        <v/>
      </c>
      <c r="O167" s="644"/>
      <c r="P167" s="550"/>
      <c r="Q167" s="300"/>
      <c r="R167" s="300"/>
      <c r="S167" s="300"/>
      <c r="T167" s="3"/>
      <c r="U167" s="92"/>
      <c r="V167" s="92"/>
      <c r="W167" s="92"/>
      <c r="X167" s="92"/>
      <c r="Y167" s="92"/>
      <c r="Z167" s="92"/>
      <c r="AA167" s="92"/>
      <c r="AB167" s="92"/>
      <c r="AC167" s="92"/>
      <c r="AD167" s="92"/>
      <c r="AE167" s="92"/>
    </row>
    <row r="168" spans="1:31" ht="11.25" customHeight="1" x14ac:dyDescent="0.15">
      <c r="A168" s="3"/>
      <c r="B168" s="259"/>
      <c r="C168" s="542"/>
      <c r="D168" s="706" t="s">
        <v>164</v>
      </c>
      <c r="E168" s="707"/>
      <c r="F168" s="708"/>
      <c r="G168" s="509"/>
      <c r="H168" s="510"/>
      <c r="I168" s="510"/>
      <c r="J168" s="788">
        <f>SUM(J163:K167)</f>
        <v>0</v>
      </c>
      <c r="K168" s="789"/>
      <c r="L168" s="670">
        <f ca="1">'DB materialer'!AQ142</f>
        <v>0</v>
      </c>
      <c r="M168" s="671"/>
      <c r="N168" s="641">
        <f ca="1">'DB materialer'!BL142</f>
        <v>0</v>
      </c>
      <c r="O168" s="642"/>
      <c r="P168" s="551"/>
      <c r="Q168" s="292"/>
      <c r="R168" s="292"/>
      <c r="S168" s="292"/>
      <c r="T168" s="3"/>
      <c r="U168" s="92"/>
      <c r="V168" s="92"/>
      <c r="W168" s="92"/>
      <c r="X168" s="92"/>
      <c r="Y168" s="92"/>
      <c r="Z168" s="92"/>
      <c r="AA168" s="92"/>
      <c r="AB168" s="92"/>
      <c r="AC168" s="92"/>
      <c r="AD168" s="92"/>
      <c r="AE168" s="92"/>
    </row>
    <row r="169" spans="1:31" ht="11.25" customHeight="1" x14ac:dyDescent="0.15">
      <c r="A169" s="3"/>
      <c r="B169" s="259"/>
      <c r="C169" s="542"/>
      <c r="D169" s="793"/>
      <c r="E169" s="794"/>
      <c r="F169" s="795"/>
      <c r="G169" s="511"/>
      <c r="H169" s="512"/>
      <c r="I169" s="512"/>
      <c r="J169" s="751" t="s">
        <v>178</v>
      </c>
      <c r="K169" s="752"/>
      <c r="L169" s="790" t="s">
        <v>190</v>
      </c>
      <c r="M169" s="764"/>
      <c r="N169" s="791" t="s">
        <v>187</v>
      </c>
      <c r="O169" s="792"/>
      <c r="P169" s="551"/>
      <c r="Q169" s="292"/>
      <c r="R169" s="292"/>
      <c r="S169" s="292"/>
      <c r="T169" s="3"/>
      <c r="U169" s="92"/>
      <c r="V169" s="92"/>
      <c r="W169" s="92"/>
      <c r="X169" s="92"/>
      <c r="Y169" s="92"/>
      <c r="Z169" s="92"/>
      <c r="AA169" s="92"/>
      <c r="AB169" s="92"/>
      <c r="AC169" s="92"/>
      <c r="AD169" s="92"/>
      <c r="AE169" s="92"/>
    </row>
    <row r="170" spans="1:31" x14ac:dyDescent="0.15">
      <c r="A170" s="3"/>
      <c r="B170" s="259"/>
      <c r="C170" s="736" t="str">
        <f ca="1">IF((SUMIF(D163:E167,"(blank)",J163:J167)=0),"","Der er indberettet en besparelse af en ikke-defineret materiale.")</f>
        <v/>
      </c>
      <c r="D170" s="737"/>
      <c r="E170" s="737"/>
      <c r="F170" s="737"/>
      <c r="G170" s="737"/>
      <c r="H170" s="737"/>
      <c r="I170" s="737"/>
      <c r="J170" s="738"/>
      <c r="K170" s="738"/>
      <c r="L170" s="737"/>
      <c r="M170" s="737"/>
      <c r="N170" s="737"/>
      <c r="O170" s="737"/>
      <c r="P170" s="739"/>
      <c r="Q170" s="260"/>
      <c r="R170" s="260"/>
      <c r="S170" s="260"/>
      <c r="T170" s="3"/>
      <c r="U170" s="92"/>
      <c r="V170" s="92"/>
      <c r="W170" s="92"/>
      <c r="X170" s="92"/>
      <c r="Y170" s="92"/>
      <c r="Z170" s="92"/>
      <c r="AA170" s="92"/>
      <c r="AB170" s="92"/>
      <c r="AC170" s="92"/>
      <c r="AD170" s="92"/>
      <c r="AE170" s="92"/>
    </row>
    <row r="171" spans="1:31" ht="11.25" customHeight="1" x14ac:dyDescent="0.15">
      <c r="A171" s="3"/>
      <c r="B171" s="259"/>
      <c r="C171" s="740"/>
      <c r="D171" s="741"/>
      <c r="E171" s="741"/>
      <c r="F171" s="741"/>
      <c r="G171" s="741"/>
      <c r="H171" s="741"/>
      <c r="I171" s="741"/>
      <c r="J171" s="741"/>
      <c r="K171" s="741"/>
      <c r="L171" s="741"/>
      <c r="M171" s="741"/>
      <c r="N171" s="741"/>
      <c r="O171" s="741"/>
      <c r="P171" s="742"/>
      <c r="Q171" s="260"/>
      <c r="R171" s="260"/>
      <c r="S171" s="260"/>
      <c r="T171" s="3"/>
      <c r="U171" s="92"/>
      <c r="V171" s="92"/>
      <c r="W171" s="92"/>
      <c r="X171" s="92"/>
      <c r="Y171" s="92"/>
      <c r="Z171" s="92"/>
      <c r="AA171" s="92"/>
      <c r="AB171" s="92"/>
      <c r="AC171" s="92"/>
      <c r="AD171" s="92"/>
      <c r="AE171" s="92"/>
    </row>
    <row r="172" spans="1:31" ht="11.25" customHeight="1" x14ac:dyDescent="0.15">
      <c r="A172" s="3"/>
      <c r="B172" s="259"/>
      <c r="C172" s="260"/>
      <c r="D172" s="260"/>
      <c r="E172" s="260"/>
      <c r="F172" s="260"/>
      <c r="G172" s="260"/>
      <c r="H172" s="260"/>
      <c r="I172" s="260"/>
      <c r="J172" s="260"/>
      <c r="K172" s="260"/>
      <c r="L172" s="260"/>
      <c r="M172" s="255"/>
      <c r="N172" s="253"/>
      <c r="O172" s="261"/>
      <c r="P172" s="261"/>
      <c r="Q172" s="261"/>
      <c r="R172" s="261"/>
      <c r="S172" s="261"/>
      <c r="T172" s="3"/>
      <c r="U172" s="92"/>
      <c r="V172" s="92"/>
      <c r="W172" s="92"/>
      <c r="X172" s="92"/>
      <c r="Y172" s="92"/>
      <c r="Z172" s="92"/>
      <c r="AA172" s="92"/>
      <c r="AB172" s="92"/>
      <c r="AC172" s="92"/>
      <c r="AD172" s="92"/>
      <c r="AE172" s="92"/>
    </row>
    <row r="173" spans="1:31" x14ac:dyDescent="0.15">
      <c r="A173" s="3"/>
      <c r="B173" s="253"/>
      <c r="C173" s="301" t="s">
        <v>593</v>
      </c>
      <c r="D173" s="301"/>
      <c r="E173" s="301"/>
      <c r="F173" s="301"/>
      <c r="G173" s="301"/>
      <c r="H173" s="301"/>
      <c r="I173" s="301"/>
      <c r="J173" s="301"/>
      <c r="K173" s="261"/>
      <c r="L173" s="261"/>
      <c r="M173" s="261"/>
      <c r="N173" s="261"/>
      <c r="O173" s="261"/>
      <c r="P173" s="261"/>
      <c r="Q173" s="261"/>
      <c r="R173" s="261"/>
      <c r="S173" s="261"/>
      <c r="T173" s="3"/>
      <c r="U173" s="92"/>
      <c r="V173" s="92"/>
      <c r="W173" s="92"/>
      <c r="X173" s="92"/>
      <c r="Y173" s="92"/>
      <c r="Z173" s="92"/>
      <c r="AA173" s="92"/>
      <c r="AB173" s="92"/>
      <c r="AC173" s="92"/>
      <c r="AD173" s="92"/>
      <c r="AE173" s="92"/>
    </row>
    <row r="174" spans="1:31" ht="11.25" customHeight="1" x14ac:dyDescent="0.15">
      <c r="A174" s="3"/>
      <c r="B174" s="259"/>
      <c r="C174" s="727" t="s">
        <v>594</v>
      </c>
      <c r="D174" s="727"/>
      <c r="E174" s="727"/>
      <c r="F174" s="727"/>
      <c r="G174" s="727"/>
      <c r="H174" s="727"/>
      <c r="I174" s="727"/>
      <c r="J174" s="727"/>
      <c r="K174" s="727"/>
      <c r="L174" s="727"/>
      <c r="M174" s="727"/>
      <c r="N174" s="727"/>
      <c r="O174" s="727"/>
      <c r="P174" s="727"/>
      <c r="Q174" s="727"/>
      <c r="R174" s="727"/>
      <c r="S174" s="727"/>
      <c r="T174" s="3"/>
      <c r="U174" s="92"/>
      <c r="V174" s="92"/>
      <c r="W174" s="92"/>
      <c r="X174" s="92"/>
      <c r="Y174" s="92"/>
      <c r="Z174" s="92"/>
      <c r="AA174" s="92"/>
      <c r="AB174" s="92"/>
      <c r="AC174" s="92"/>
      <c r="AD174" s="92"/>
      <c r="AE174" s="92"/>
    </row>
    <row r="175" spans="1:31" x14ac:dyDescent="0.15">
      <c r="A175" s="3"/>
      <c r="B175" s="259"/>
      <c r="C175" s="253"/>
      <c r="D175" s="261"/>
      <c r="E175" s="261"/>
      <c r="F175" s="261"/>
      <c r="G175" s="261"/>
      <c r="H175" s="261"/>
      <c r="I175" s="253"/>
      <c r="J175" s="253"/>
      <c r="K175" s="261"/>
      <c r="L175" s="261"/>
      <c r="M175" s="261"/>
      <c r="N175" s="261"/>
      <c r="O175" s="261"/>
      <c r="P175" s="261"/>
      <c r="Q175" s="261"/>
      <c r="R175" s="261"/>
      <c r="S175" s="261"/>
      <c r="T175" s="3"/>
      <c r="U175" s="92"/>
      <c r="V175" s="92"/>
      <c r="W175" s="92"/>
      <c r="X175" s="92"/>
      <c r="Y175" s="92"/>
      <c r="Z175" s="92"/>
      <c r="AA175" s="92"/>
      <c r="AB175" s="92"/>
      <c r="AC175" s="92"/>
      <c r="AD175" s="92"/>
      <c r="AE175" s="92"/>
    </row>
    <row r="176" spans="1:31" x14ac:dyDescent="0.15">
      <c r="A176" s="3"/>
      <c r="B176" s="259"/>
      <c r="C176" s="552"/>
      <c r="D176" s="553"/>
      <c r="E176" s="553"/>
      <c r="F176" s="553"/>
      <c r="G176" s="553"/>
      <c r="H176" s="553"/>
      <c r="I176" s="553"/>
      <c r="J176" s="554"/>
      <c r="K176" s="554"/>
      <c r="L176" s="538"/>
      <c r="M176" s="538"/>
      <c r="N176" s="538"/>
      <c r="O176" s="538"/>
      <c r="P176" s="539"/>
      <c r="Q176" s="261"/>
      <c r="R176" s="261"/>
      <c r="S176" s="261"/>
      <c r="T176" s="3"/>
      <c r="U176" s="92"/>
      <c r="V176" s="92"/>
      <c r="W176" s="92"/>
      <c r="X176" s="92"/>
      <c r="Y176" s="92"/>
      <c r="Z176" s="92"/>
      <c r="AA176" s="92"/>
      <c r="AB176" s="92"/>
      <c r="AC176" s="92"/>
      <c r="AD176" s="92"/>
      <c r="AE176" s="92"/>
    </row>
    <row r="177" spans="1:31" ht="22.5" customHeight="1" x14ac:dyDescent="0.15">
      <c r="A177" s="3"/>
      <c r="B177" s="259"/>
      <c r="C177" s="542"/>
      <c r="D177" s="675" t="s">
        <v>191</v>
      </c>
      <c r="E177" s="676"/>
      <c r="F177" s="677"/>
      <c r="G177" s="322" t="s">
        <v>25</v>
      </c>
      <c r="H177" s="678" t="s">
        <v>590</v>
      </c>
      <c r="I177" s="679"/>
      <c r="J177" s="783" t="s">
        <v>193</v>
      </c>
      <c r="K177" s="783"/>
      <c r="L177" s="668" t="s">
        <v>162</v>
      </c>
      <c r="M177" s="669"/>
      <c r="N177" s="694" t="s">
        <v>163</v>
      </c>
      <c r="O177" s="695"/>
      <c r="P177" s="540"/>
      <c r="Q177" s="261"/>
      <c r="R177" s="261"/>
      <c r="S177" s="261"/>
      <c r="T177" s="3"/>
      <c r="U177" s="92"/>
      <c r="V177" s="92"/>
      <c r="W177" s="92"/>
      <c r="X177" s="92"/>
      <c r="Y177" s="92"/>
      <c r="Z177" s="92"/>
      <c r="AA177" s="92"/>
      <c r="AB177" s="92"/>
      <c r="AC177" s="92"/>
      <c r="AD177" s="92"/>
      <c r="AE177" s="92"/>
    </row>
    <row r="178" spans="1:31" ht="11.25" customHeight="1" x14ac:dyDescent="0.15">
      <c r="A178" s="3"/>
      <c r="B178" s="259"/>
      <c r="C178" s="542"/>
      <c r="D178" s="672" t="s">
        <v>145</v>
      </c>
      <c r="E178" s="673"/>
      <c r="F178" s="674"/>
      <c r="G178" s="243"/>
      <c r="H178" s="665" t="s">
        <v>145</v>
      </c>
      <c r="I178" s="666"/>
      <c r="J178" s="667">
        <f>G178</f>
        <v>0</v>
      </c>
      <c r="K178" s="667"/>
      <c r="L178" s="743" t="str">
        <f>IF($D178="(Blank)","",VLOOKUP($D178,'DB materialer'!$AF$137:$AJ$141,5,FALSE))</f>
        <v/>
      </c>
      <c r="M178" s="744"/>
      <c r="N178" s="643" t="str">
        <f>IF($D178="(Blank)","",VLOOKUP($D178,'DB materialer'!$BA$137:$BE$141,5,FALSE))</f>
        <v/>
      </c>
      <c r="O178" s="644"/>
      <c r="P178" s="540"/>
      <c r="Q178" s="261"/>
      <c r="R178" s="261"/>
      <c r="S178" s="261"/>
      <c r="T178" s="3"/>
      <c r="U178" s="92"/>
      <c r="V178" s="92"/>
      <c r="W178" s="92"/>
      <c r="X178" s="92"/>
      <c r="Y178" s="92"/>
      <c r="Z178" s="92"/>
      <c r="AA178" s="92"/>
      <c r="AB178" s="92"/>
      <c r="AC178" s="92"/>
      <c r="AD178" s="92"/>
      <c r="AE178" s="92"/>
    </row>
    <row r="179" spans="1:31" ht="11.25" customHeight="1" x14ac:dyDescent="0.15">
      <c r="A179" s="3"/>
      <c r="B179" s="259"/>
      <c r="C179" s="542"/>
      <c r="D179" s="672" t="s">
        <v>145</v>
      </c>
      <c r="E179" s="673"/>
      <c r="F179" s="674"/>
      <c r="G179" s="491"/>
      <c r="H179" s="665" t="s">
        <v>145</v>
      </c>
      <c r="I179" s="666"/>
      <c r="J179" s="667">
        <f t="shared" ref="J179:J182" si="6">G179</f>
        <v>0</v>
      </c>
      <c r="K179" s="667"/>
      <c r="L179" s="743" t="str">
        <f>IF($D179="(Blank)","",VLOOKUP($D179,'DB materialer'!$AF$137:$AJ$141,5,FALSE))</f>
        <v/>
      </c>
      <c r="M179" s="744"/>
      <c r="N179" s="643" t="str">
        <f>IF($D179="(Blank)","",VLOOKUP($D179,'DB materialer'!$BA$137:$BE$141,5,FALSE))</f>
        <v/>
      </c>
      <c r="O179" s="644"/>
      <c r="P179" s="540"/>
      <c r="Q179" s="261"/>
      <c r="R179" s="261"/>
      <c r="S179" s="261"/>
      <c r="T179" s="3"/>
      <c r="U179" s="92"/>
      <c r="V179" s="92"/>
      <c r="W179" s="92"/>
      <c r="X179" s="92"/>
      <c r="Y179" s="92"/>
      <c r="Z179" s="92"/>
      <c r="AA179" s="92"/>
      <c r="AB179" s="92"/>
      <c r="AC179" s="92"/>
      <c r="AD179" s="92"/>
      <c r="AE179" s="92"/>
    </row>
    <row r="180" spans="1:31" ht="11.25" customHeight="1" x14ac:dyDescent="0.15">
      <c r="A180" s="3"/>
      <c r="B180" s="259"/>
      <c r="C180" s="542"/>
      <c r="D180" s="672" t="s">
        <v>145</v>
      </c>
      <c r="E180" s="673"/>
      <c r="F180" s="674"/>
      <c r="G180" s="491"/>
      <c r="H180" s="665" t="s">
        <v>145</v>
      </c>
      <c r="I180" s="666"/>
      <c r="J180" s="667">
        <f t="shared" si="6"/>
        <v>0</v>
      </c>
      <c r="K180" s="667"/>
      <c r="L180" s="743" t="str">
        <f>IF($D180="(Blank)","",VLOOKUP($D180,'DB materialer'!$AF$137:$AJ$141,5,FALSE))</f>
        <v/>
      </c>
      <c r="M180" s="744"/>
      <c r="N180" s="643" t="str">
        <f>IF($D180="(Blank)","",VLOOKUP($D180,'DB materialer'!$BA$137:$BE$141,5,FALSE))</f>
        <v/>
      </c>
      <c r="O180" s="644"/>
      <c r="P180" s="540"/>
      <c r="Q180" s="261"/>
      <c r="R180" s="261"/>
      <c r="S180" s="261"/>
      <c r="T180" s="3"/>
      <c r="U180" s="92"/>
      <c r="V180" s="92"/>
      <c r="W180" s="92"/>
      <c r="X180" s="92"/>
      <c r="Y180" s="92"/>
      <c r="Z180" s="92"/>
      <c r="AA180" s="92"/>
      <c r="AB180" s="92"/>
      <c r="AC180" s="92"/>
      <c r="AD180" s="92"/>
      <c r="AE180" s="92"/>
    </row>
    <row r="181" spans="1:31" ht="11.25" customHeight="1" x14ac:dyDescent="0.15">
      <c r="A181" s="3"/>
      <c r="B181" s="259"/>
      <c r="C181" s="542"/>
      <c r="D181" s="672" t="s">
        <v>145</v>
      </c>
      <c r="E181" s="673"/>
      <c r="F181" s="674"/>
      <c r="G181" s="491"/>
      <c r="H181" s="665" t="s">
        <v>145</v>
      </c>
      <c r="I181" s="666"/>
      <c r="J181" s="667">
        <f t="shared" si="6"/>
        <v>0</v>
      </c>
      <c r="K181" s="667"/>
      <c r="L181" s="743" t="str">
        <f>IF($D181="(Blank)","",VLOOKUP($D181,'DB materialer'!$AF$137:$AJ$141,5,FALSE))</f>
        <v/>
      </c>
      <c r="M181" s="744"/>
      <c r="N181" s="643" t="str">
        <f>IF($D181="(Blank)","",VLOOKUP($D181,'DB materialer'!$BA$137:$BE$141,5,FALSE))</f>
        <v/>
      </c>
      <c r="O181" s="644"/>
      <c r="P181" s="540"/>
      <c r="Q181" s="261"/>
      <c r="R181" s="261"/>
      <c r="S181" s="261"/>
      <c r="T181" s="3"/>
      <c r="U181" s="92"/>
      <c r="V181" s="92"/>
      <c r="W181" s="92"/>
      <c r="X181" s="92"/>
      <c r="Y181" s="92"/>
      <c r="Z181" s="92"/>
      <c r="AA181" s="92"/>
      <c r="AB181" s="92"/>
      <c r="AC181" s="92"/>
      <c r="AD181" s="92"/>
      <c r="AE181" s="92"/>
    </row>
    <row r="182" spans="1:31" ht="11.25" customHeight="1" x14ac:dyDescent="0.15">
      <c r="A182" s="3"/>
      <c r="B182" s="259"/>
      <c r="C182" s="542"/>
      <c r="D182" s="672" t="s">
        <v>145</v>
      </c>
      <c r="E182" s="673"/>
      <c r="F182" s="674"/>
      <c r="G182" s="491"/>
      <c r="H182" s="665" t="s">
        <v>145</v>
      </c>
      <c r="I182" s="666"/>
      <c r="J182" s="667">
        <f t="shared" si="6"/>
        <v>0</v>
      </c>
      <c r="K182" s="667"/>
      <c r="L182" s="743" t="str">
        <f>IF($D182="(Blank)","",VLOOKUP($D182,'DB materialer'!$AF$137:$AJ$141,5,FALSE))</f>
        <v/>
      </c>
      <c r="M182" s="744"/>
      <c r="N182" s="643" t="str">
        <f>IF($D182="(Blank)","",VLOOKUP($D182,'DB materialer'!$BA$137:$BE$141,5,FALSE))</f>
        <v/>
      </c>
      <c r="O182" s="644"/>
      <c r="P182" s="540"/>
      <c r="Q182" s="261"/>
      <c r="R182" s="261"/>
      <c r="S182" s="261"/>
      <c r="T182" s="3"/>
      <c r="U182" s="92"/>
      <c r="V182" s="92"/>
      <c r="W182" s="92"/>
      <c r="X182" s="92"/>
      <c r="Y182" s="92"/>
      <c r="Z182" s="92"/>
      <c r="AA182" s="92"/>
      <c r="AB182" s="92"/>
      <c r="AC182" s="92"/>
      <c r="AD182" s="92"/>
      <c r="AE182" s="92"/>
    </row>
    <row r="183" spans="1:31" ht="11.25" customHeight="1" x14ac:dyDescent="0.15">
      <c r="A183" s="3"/>
      <c r="B183" s="259"/>
      <c r="C183" s="542"/>
      <c r="D183" s="706" t="s">
        <v>164</v>
      </c>
      <c r="E183" s="707"/>
      <c r="F183" s="708"/>
      <c r="G183" s="712"/>
      <c r="H183" s="713"/>
      <c r="I183" s="713"/>
      <c r="J183" s="749">
        <f>SUM(J178:K182)</f>
        <v>0</v>
      </c>
      <c r="K183" s="750"/>
      <c r="L183" s="745">
        <f>SUM(L178:M182)</f>
        <v>0</v>
      </c>
      <c r="M183" s="721"/>
      <c r="N183" s="641">
        <f>SUM(N178:O182)</f>
        <v>0</v>
      </c>
      <c r="O183" s="642"/>
      <c r="P183" s="540"/>
      <c r="Q183" s="261"/>
      <c r="R183" s="261"/>
      <c r="S183" s="261"/>
      <c r="T183" s="3"/>
      <c r="U183" s="92"/>
      <c r="V183" s="92"/>
      <c r="W183" s="92"/>
      <c r="X183" s="92"/>
      <c r="Y183" s="92"/>
      <c r="Z183" s="92"/>
      <c r="AA183" s="92"/>
      <c r="AB183" s="92"/>
      <c r="AC183" s="92"/>
      <c r="AD183" s="92"/>
      <c r="AE183" s="92"/>
    </row>
    <row r="184" spans="1:31" ht="11.25" customHeight="1" x14ac:dyDescent="0.15">
      <c r="A184" s="3"/>
      <c r="B184" s="259"/>
      <c r="C184" s="542"/>
      <c r="D184" s="709"/>
      <c r="E184" s="710"/>
      <c r="F184" s="711"/>
      <c r="G184" s="715"/>
      <c r="H184" s="716"/>
      <c r="I184" s="716"/>
      <c r="J184" s="751" t="s">
        <v>178</v>
      </c>
      <c r="K184" s="752"/>
      <c r="L184" s="647" t="s">
        <v>190</v>
      </c>
      <c r="M184" s="648"/>
      <c r="N184" s="649" t="s">
        <v>187</v>
      </c>
      <c r="O184" s="650"/>
      <c r="P184" s="540"/>
      <c r="Q184" s="261"/>
      <c r="R184" s="261"/>
      <c r="S184" s="261"/>
      <c r="T184" s="3"/>
      <c r="U184" s="92"/>
      <c r="V184" s="92"/>
      <c r="W184" s="92"/>
      <c r="X184" s="92"/>
      <c r="Y184" s="92"/>
      <c r="Z184" s="92"/>
      <c r="AA184" s="92"/>
      <c r="AB184" s="92"/>
      <c r="AC184" s="92"/>
      <c r="AD184" s="92"/>
      <c r="AE184" s="92"/>
    </row>
    <row r="185" spans="1:31" ht="11.25" customHeight="1" x14ac:dyDescent="0.15">
      <c r="A185" s="3"/>
      <c r="B185" s="259"/>
      <c r="C185" s="736" t="str">
        <f ca="1">IF((SUMIF(D178:E182,"(blank)",J178:J182)=0),"","Der er indberettet en besparelse af en ikke-defineret materiale.")</f>
        <v/>
      </c>
      <c r="D185" s="737"/>
      <c r="E185" s="737"/>
      <c r="F185" s="737"/>
      <c r="G185" s="737"/>
      <c r="H185" s="737"/>
      <c r="I185" s="737"/>
      <c r="J185" s="738"/>
      <c r="K185" s="738"/>
      <c r="L185" s="737"/>
      <c r="M185" s="737"/>
      <c r="N185" s="737"/>
      <c r="O185" s="737"/>
      <c r="P185" s="739"/>
      <c r="Q185" s="260"/>
      <c r="R185" s="260"/>
      <c r="S185" s="260"/>
      <c r="T185" s="3"/>
      <c r="U185" s="92"/>
      <c r="V185" s="92"/>
      <c r="W185" s="92"/>
      <c r="X185" s="92"/>
      <c r="Y185" s="92"/>
      <c r="Z185" s="92"/>
      <c r="AA185" s="92"/>
      <c r="AB185" s="92"/>
      <c r="AC185" s="92"/>
      <c r="AD185" s="92"/>
      <c r="AE185" s="92"/>
    </row>
    <row r="186" spans="1:31" ht="11.25" customHeight="1" x14ac:dyDescent="0.15">
      <c r="A186" s="3"/>
      <c r="B186" s="259"/>
      <c r="C186" s="740"/>
      <c r="D186" s="741"/>
      <c r="E186" s="741"/>
      <c r="F186" s="741"/>
      <c r="G186" s="741"/>
      <c r="H186" s="741"/>
      <c r="I186" s="741"/>
      <c r="J186" s="741"/>
      <c r="K186" s="741"/>
      <c r="L186" s="741"/>
      <c r="M186" s="741"/>
      <c r="N186" s="741"/>
      <c r="O186" s="741"/>
      <c r="P186" s="742"/>
      <c r="Q186" s="260"/>
      <c r="R186" s="260"/>
      <c r="S186" s="260"/>
      <c r="T186" s="3"/>
      <c r="U186" s="92"/>
      <c r="V186" s="92"/>
      <c r="W186" s="92"/>
      <c r="X186" s="92"/>
      <c r="Y186" s="92"/>
      <c r="Z186" s="92"/>
      <c r="AA186" s="92"/>
      <c r="AB186" s="92"/>
      <c r="AC186" s="92"/>
      <c r="AD186" s="92"/>
      <c r="AE186" s="92"/>
    </row>
    <row r="187" spans="1:31" ht="11.25" customHeight="1" x14ac:dyDescent="0.15">
      <c r="A187" s="3"/>
      <c r="B187" s="259"/>
      <c r="C187" s="260"/>
      <c r="D187" s="260"/>
      <c r="E187" s="260"/>
      <c r="F187" s="260"/>
      <c r="G187" s="260"/>
      <c r="H187" s="260"/>
      <c r="I187" s="260"/>
      <c r="J187" s="260"/>
      <c r="K187" s="260"/>
      <c r="L187" s="260"/>
      <c r="M187" s="255"/>
      <c r="N187" s="253"/>
      <c r="O187" s="261"/>
      <c r="P187" s="261"/>
      <c r="Q187" s="261"/>
      <c r="R187" s="261"/>
      <c r="S187" s="261"/>
      <c r="T187" s="3"/>
      <c r="U187" s="92"/>
      <c r="V187" s="92"/>
      <c r="W187" s="92"/>
      <c r="X187" s="92"/>
      <c r="Y187" s="92"/>
      <c r="Z187" s="92"/>
      <c r="AA187" s="92"/>
      <c r="AB187" s="92"/>
      <c r="AC187" s="92"/>
      <c r="AD187" s="92"/>
      <c r="AE187" s="92"/>
    </row>
    <row r="188" spans="1:31" ht="11.25" customHeight="1" x14ac:dyDescent="0.15">
      <c r="A188" s="3"/>
      <c r="B188" s="3"/>
      <c r="C188" s="3"/>
      <c r="D188" s="3"/>
      <c r="E188" s="3"/>
      <c r="F188" s="3"/>
      <c r="G188" s="3"/>
      <c r="H188" s="3"/>
      <c r="I188" s="3"/>
      <c r="J188" s="3"/>
      <c r="K188" s="3"/>
      <c r="L188" s="3"/>
      <c r="M188" s="3"/>
      <c r="N188" s="3"/>
      <c r="O188" s="3"/>
      <c r="P188" s="3"/>
      <c r="Q188" s="3"/>
      <c r="R188" s="3"/>
      <c r="S188" s="3"/>
      <c r="T188" s="3"/>
      <c r="U188" s="92"/>
      <c r="V188" s="92"/>
      <c r="W188" s="92"/>
      <c r="X188" s="92"/>
      <c r="Y188" s="92"/>
      <c r="Z188" s="92"/>
      <c r="AA188" s="92"/>
      <c r="AB188" s="92"/>
      <c r="AC188" s="92"/>
      <c r="AD188" s="92"/>
      <c r="AE188" s="92"/>
    </row>
    <row r="189" spans="1:31" ht="11.25" customHeight="1" x14ac:dyDescent="0.15">
      <c r="A189" s="3"/>
      <c r="B189" s="259"/>
      <c r="C189" s="259"/>
      <c r="D189" s="259"/>
      <c r="E189" s="259"/>
      <c r="F189" s="259"/>
      <c r="G189" s="259"/>
      <c r="H189" s="259"/>
      <c r="I189" s="259"/>
      <c r="J189" s="259"/>
      <c r="K189" s="259"/>
      <c r="L189" s="259"/>
      <c r="M189" s="259"/>
      <c r="N189" s="259"/>
      <c r="O189" s="259"/>
      <c r="P189" s="259"/>
      <c r="Q189" s="259"/>
      <c r="R189" s="259"/>
      <c r="S189" s="259"/>
      <c r="T189" s="3"/>
      <c r="U189" s="92"/>
      <c r="V189" s="92"/>
      <c r="W189" s="92"/>
      <c r="X189" s="92"/>
      <c r="Y189" s="92"/>
      <c r="Z189" s="92"/>
      <c r="AA189" s="92"/>
      <c r="AB189" s="92"/>
      <c r="AC189" s="92"/>
      <c r="AD189" s="92"/>
      <c r="AE189" s="92"/>
    </row>
    <row r="190" spans="1:31" ht="15" customHeight="1" x14ac:dyDescent="0.2">
      <c r="A190" s="3"/>
      <c r="B190" s="259"/>
      <c r="C190" s="307" t="s">
        <v>194</v>
      </c>
      <c r="D190" s="305"/>
      <c r="E190" s="305"/>
      <c r="F190" s="305"/>
      <c r="G190" s="305"/>
      <c r="H190" s="305"/>
      <c r="I190" s="305"/>
      <c r="J190" s="305"/>
      <c r="K190" s="652" t="s">
        <v>608</v>
      </c>
      <c r="L190" s="305"/>
      <c r="M190" s="732" t="s">
        <v>162</v>
      </c>
      <c r="N190" s="259"/>
      <c r="O190" s="682" t="s">
        <v>163</v>
      </c>
      <c r="P190" s="259"/>
      <c r="Q190" s="645" t="s">
        <v>173</v>
      </c>
      <c r="R190" s="259"/>
      <c r="S190" s="259"/>
      <c r="T190" s="3"/>
      <c r="U190" s="92"/>
      <c r="V190" s="92"/>
      <c r="W190" s="92"/>
      <c r="X190" s="92"/>
      <c r="Y190" s="92"/>
      <c r="Z190" s="92"/>
      <c r="AA190" s="92"/>
      <c r="AB190" s="92"/>
      <c r="AC190" s="92"/>
      <c r="AD190" s="92"/>
      <c r="AE190" s="92"/>
    </row>
    <row r="191" spans="1:31" ht="11.25" customHeight="1" x14ac:dyDescent="0.15">
      <c r="A191" s="3"/>
      <c r="B191" s="259"/>
      <c r="C191" s="298" t="s">
        <v>9</v>
      </c>
      <c r="D191" s="306"/>
      <c r="E191" s="306"/>
      <c r="F191" s="306"/>
      <c r="G191" s="306"/>
      <c r="H191" s="306"/>
      <c r="I191" s="306"/>
      <c r="J191" s="306"/>
      <c r="K191" s="653"/>
      <c r="L191" s="306"/>
      <c r="M191" s="733"/>
      <c r="N191" s="259"/>
      <c r="O191" s="683"/>
      <c r="P191" s="259"/>
      <c r="Q191" s="646"/>
      <c r="R191" s="259"/>
      <c r="S191" s="259"/>
      <c r="T191" s="3"/>
      <c r="U191" s="92"/>
      <c r="V191" s="92"/>
      <c r="W191" s="92"/>
      <c r="X191" s="92"/>
      <c r="Y191" s="92"/>
      <c r="Z191" s="92"/>
      <c r="AA191" s="92"/>
      <c r="AB191" s="92"/>
      <c r="AC191" s="92"/>
      <c r="AD191" s="92"/>
      <c r="AE191" s="92"/>
    </row>
    <row r="192" spans="1:31" ht="6.75" customHeight="1" x14ac:dyDescent="0.15">
      <c r="A192" s="3"/>
      <c r="B192" s="259"/>
      <c r="C192" s="259"/>
      <c r="D192" s="259"/>
      <c r="E192" s="259"/>
      <c r="F192" s="259"/>
      <c r="G192" s="259"/>
      <c r="H192" s="259"/>
      <c r="I192" s="259"/>
      <c r="J192" s="253"/>
      <c r="K192" s="259"/>
      <c r="L192" s="259"/>
      <c r="M192" s="259"/>
      <c r="N192" s="259"/>
      <c r="O192" s="259"/>
      <c r="P192" s="259"/>
      <c r="Q192" s="253"/>
      <c r="R192" s="259"/>
      <c r="S192" s="259"/>
      <c r="T192" s="3"/>
      <c r="U192" s="92"/>
      <c r="V192" s="92"/>
      <c r="W192" s="92"/>
      <c r="X192" s="92"/>
      <c r="Y192" s="92"/>
      <c r="Z192" s="92"/>
      <c r="AA192" s="92"/>
      <c r="AB192" s="92"/>
      <c r="AC192" s="92"/>
      <c r="AD192" s="92"/>
      <c r="AE192" s="92"/>
    </row>
    <row r="193" spans="1:31" x14ac:dyDescent="0.15">
      <c r="A193" s="3"/>
      <c r="B193" s="259"/>
      <c r="C193" s="199" t="s">
        <v>10</v>
      </c>
      <c r="D193" s="67"/>
      <c r="E193" s="67"/>
      <c r="F193" s="67"/>
      <c r="G193" s="67"/>
      <c r="H193" s="67"/>
      <c r="I193" s="258"/>
      <c r="J193" s="253"/>
      <c r="K193" s="589">
        <f>H58</f>
        <v>0</v>
      </c>
      <c r="L193" s="253"/>
      <c r="M193" s="404">
        <f>J58</f>
        <v>0</v>
      </c>
      <c r="N193" s="405"/>
      <c r="O193" s="406">
        <f>L58</f>
        <v>0</v>
      </c>
      <c r="P193" s="259"/>
      <c r="Q193" s="253"/>
      <c r="R193" s="259"/>
      <c r="S193" s="259"/>
      <c r="T193" s="3"/>
      <c r="U193" s="92"/>
      <c r="V193" s="92"/>
      <c r="W193" s="92"/>
      <c r="X193" s="92"/>
      <c r="Y193" s="92"/>
      <c r="Z193" s="92"/>
      <c r="AA193" s="92"/>
      <c r="AB193" s="92"/>
      <c r="AC193" s="92"/>
      <c r="AD193" s="92"/>
      <c r="AE193" s="92"/>
    </row>
    <row r="194" spans="1:31" ht="3" customHeight="1" x14ac:dyDescent="0.15">
      <c r="A194" s="3"/>
      <c r="B194" s="259"/>
      <c r="C194" s="308"/>
      <c r="D194" s="259"/>
      <c r="E194" s="259"/>
      <c r="F194" s="259"/>
      <c r="G194" s="259"/>
      <c r="H194" s="259"/>
      <c r="I194" s="259"/>
      <c r="J194" s="253"/>
      <c r="K194" s="259"/>
      <c r="L194" s="253"/>
      <c r="M194" s="405"/>
      <c r="N194" s="405"/>
      <c r="O194" s="405"/>
      <c r="P194" s="259"/>
      <c r="Q194" s="253"/>
      <c r="R194" s="259"/>
      <c r="S194" s="259"/>
      <c r="T194" s="3"/>
      <c r="U194" s="92"/>
      <c r="V194" s="92"/>
      <c r="W194" s="92"/>
      <c r="X194" s="92"/>
      <c r="Y194" s="92"/>
      <c r="Z194" s="92"/>
      <c r="AA194" s="92"/>
      <c r="AB194" s="92"/>
      <c r="AC194" s="92"/>
      <c r="AD194" s="92"/>
      <c r="AE194" s="92"/>
    </row>
    <row r="195" spans="1:31" x14ac:dyDescent="0.15">
      <c r="A195" s="3"/>
      <c r="B195" s="259"/>
      <c r="C195" s="199" t="s">
        <v>12</v>
      </c>
      <c r="D195" s="67"/>
      <c r="E195" s="67"/>
      <c r="F195" s="67"/>
      <c r="G195" s="67"/>
      <c r="H195" s="67"/>
      <c r="I195" s="258"/>
      <c r="J195" s="253"/>
      <c r="K195" s="253"/>
      <c r="L195" s="253"/>
      <c r="M195" s="404">
        <f ca="1">L76</f>
        <v>0</v>
      </c>
      <c r="N195" s="405"/>
      <c r="O195" s="406">
        <f ca="1">N76</f>
        <v>0</v>
      </c>
      <c r="P195" s="259"/>
      <c r="Q195" s="576">
        <f>P76</f>
        <v>0</v>
      </c>
      <c r="R195" s="259"/>
      <c r="S195" s="259"/>
      <c r="T195" s="3"/>
      <c r="U195" s="92"/>
      <c r="V195" s="92"/>
      <c r="W195" s="92"/>
      <c r="X195" s="92"/>
      <c r="Y195" s="92"/>
      <c r="Z195" s="92"/>
      <c r="AA195" s="92"/>
      <c r="AB195" s="92"/>
      <c r="AC195" s="92"/>
      <c r="AD195" s="92"/>
      <c r="AE195" s="92"/>
    </row>
    <row r="196" spans="1:31" ht="3" customHeight="1" x14ac:dyDescent="0.15">
      <c r="A196" s="3"/>
      <c r="B196" s="259"/>
      <c r="C196" s="308"/>
      <c r="D196" s="287"/>
      <c r="E196" s="259"/>
      <c r="F196" s="259"/>
      <c r="G196" s="259"/>
      <c r="H196" s="259"/>
      <c r="I196" s="259"/>
      <c r="J196" s="253"/>
      <c r="K196" s="259"/>
      <c r="L196" s="253"/>
      <c r="M196" s="405"/>
      <c r="N196" s="405"/>
      <c r="O196" s="405"/>
      <c r="P196" s="302"/>
      <c r="Q196" s="401"/>
      <c r="R196" s="302"/>
      <c r="S196" s="302"/>
      <c r="T196" s="3"/>
      <c r="U196" s="92"/>
      <c r="V196" s="92"/>
      <c r="W196" s="92"/>
      <c r="X196" s="92"/>
      <c r="Y196" s="92"/>
      <c r="Z196" s="92"/>
      <c r="AA196" s="92"/>
      <c r="AB196" s="92"/>
      <c r="AC196" s="92"/>
      <c r="AD196" s="92"/>
      <c r="AE196" s="92"/>
    </row>
    <row r="197" spans="1:31" x14ac:dyDescent="0.15">
      <c r="A197" s="3"/>
      <c r="B197" s="259"/>
      <c r="C197" s="201" t="s">
        <v>14</v>
      </c>
      <c r="D197" s="196"/>
      <c r="E197" s="197"/>
      <c r="F197" s="197"/>
      <c r="G197" s="197"/>
      <c r="H197" s="197"/>
      <c r="I197" s="271"/>
      <c r="J197" s="274"/>
      <c r="K197" s="274"/>
      <c r="L197" s="274"/>
      <c r="M197" s="404">
        <f>L111</f>
        <v>0</v>
      </c>
      <c r="N197" s="405"/>
      <c r="O197" s="407"/>
      <c r="P197" s="302"/>
      <c r="Q197" s="401"/>
      <c r="R197" s="302"/>
      <c r="S197" s="302"/>
      <c r="T197" s="3"/>
      <c r="U197" s="92"/>
      <c r="V197" s="92"/>
      <c r="W197" s="92"/>
      <c r="X197" s="92"/>
      <c r="Y197" s="92"/>
      <c r="Z197" s="92"/>
      <c r="AA197" s="92"/>
      <c r="AB197" s="92"/>
      <c r="AC197" s="92"/>
      <c r="AD197" s="92"/>
      <c r="AE197" s="92"/>
    </row>
    <row r="198" spans="1:31" ht="3" customHeight="1" x14ac:dyDescent="0.15">
      <c r="A198" s="3"/>
      <c r="B198" s="259"/>
      <c r="C198" s="308"/>
      <c r="D198" s="287"/>
      <c r="E198" s="259"/>
      <c r="F198" s="259"/>
      <c r="G198" s="259"/>
      <c r="H198" s="259"/>
      <c r="I198" s="259"/>
      <c r="J198" s="253"/>
      <c r="K198" s="259"/>
      <c r="L198" s="253"/>
      <c r="M198" s="405"/>
      <c r="N198" s="405"/>
      <c r="O198" s="405"/>
      <c r="P198" s="302"/>
      <c r="Q198" s="401"/>
      <c r="R198" s="302"/>
      <c r="S198" s="302"/>
      <c r="T198" s="3"/>
      <c r="U198" s="92"/>
      <c r="V198" s="92"/>
      <c r="W198" s="92"/>
      <c r="X198" s="92"/>
      <c r="Y198" s="92"/>
      <c r="Z198" s="92"/>
      <c r="AA198" s="92"/>
      <c r="AB198" s="92"/>
      <c r="AC198" s="92"/>
      <c r="AD198" s="92"/>
      <c r="AE198" s="92"/>
    </row>
    <row r="199" spans="1:31" x14ac:dyDescent="0.15">
      <c r="A199" s="3"/>
      <c r="B199" s="259"/>
      <c r="C199" s="200" t="s">
        <v>15</v>
      </c>
      <c r="D199" s="67"/>
      <c r="E199" s="67"/>
      <c r="F199" s="67"/>
      <c r="G199" s="67"/>
      <c r="H199" s="67"/>
      <c r="I199" s="258"/>
      <c r="J199" s="253"/>
      <c r="K199" s="589">
        <f>I133</f>
        <v>0</v>
      </c>
      <c r="L199" s="253"/>
      <c r="M199" s="404">
        <f>J133</f>
        <v>0</v>
      </c>
      <c r="N199" s="405"/>
      <c r="O199" s="406">
        <f>L133</f>
        <v>0</v>
      </c>
      <c r="P199" s="259"/>
      <c r="Q199" s="253"/>
      <c r="R199" s="259"/>
      <c r="S199" s="259"/>
      <c r="T199" s="3"/>
      <c r="U199" s="92"/>
      <c r="V199" s="92"/>
      <c r="W199" s="92"/>
      <c r="X199" s="92"/>
      <c r="Y199" s="92"/>
      <c r="Z199" s="92"/>
      <c r="AA199" s="92"/>
      <c r="AB199" s="92"/>
      <c r="AC199" s="92"/>
      <c r="AD199" s="92"/>
      <c r="AE199" s="92"/>
    </row>
    <row r="200" spans="1:31" ht="3" customHeight="1" x14ac:dyDescent="0.15">
      <c r="A200" s="3"/>
      <c r="B200" s="259"/>
      <c r="C200" s="308"/>
      <c r="D200" s="287"/>
      <c r="E200" s="259"/>
      <c r="F200" s="259"/>
      <c r="G200" s="259"/>
      <c r="H200" s="259"/>
      <c r="I200" s="259"/>
      <c r="J200" s="253"/>
      <c r="K200" s="259"/>
      <c r="L200" s="253"/>
      <c r="M200" s="405"/>
      <c r="N200" s="405"/>
      <c r="O200" s="405"/>
      <c r="P200" s="302"/>
      <c r="Q200" s="401"/>
      <c r="R200" s="302"/>
      <c r="S200" s="302"/>
      <c r="T200" s="3"/>
      <c r="U200" s="92"/>
      <c r="V200" s="92"/>
      <c r="W200" s="92"/>
      <c r="X200" s="92"/>
      <c r="Y200" s="92"/>
      <c r="Z200" s="92"/>
      <c r="AA200" s="92"/>
      <c r="AB200" s="92"/>
      <c r="AC200" s="92"/>
      <c r="AD200" s="92"/>
      <c r="AE200" s="92"/>
    </row>
    <row r="201" spans="1:31" ht="11.25" customHeight="1" x14ac:dyDescent="0.15">
      <c r="A201" s="3"/>
      <c r="B201" s="259"/>
      <c r="C201" s="200" t="s">
        <v>16</v>
      </c>
      <c r="D201" s="67"/>
      <c r="E201" s="67"/>
      <c r="F201" s="67"/>
      <c r="G201" s="67"/>
      <c r="H201" s="67"/>
      <c r="I201" s="258"/>
      <c r="J201" s="253"/>
      <c r="K201" s="253"/>
      <c r="L201" s="253"/>
      <c r="M201" s="404">
        <f>L149</f>
        <v>0</v>
      </c>
      <c r="N201" s="405"/>
      <c r="O201" s="406">
        <f>N149</f>
        <v>0</v>
      </c>
      <c r="P201" s="259"/>
      <c r="Q201" s="577">
        <f>P149</f>
        <v>0</v>
      </c>
      <c r="R201" s="259"/>
      <c r="S201" s="259"/>
      <c r="T201" s="3"/>
      <c r="U201" s="92"/>
      <c r="V201" s="92"/>
      <c r="W201" s="92"/>
      <c r="X201" s="92"/>
      <c r="Y201" s="92"/>
      <c r="Z201" s="92"/>
      <c r="AA201" s="92"/>
      <c r="AB201" s="92"/>
      <c r="AC201" s="92"/>
      <c r="AD201" s="92"/>
      <c r="AE201" s="92"/>
    </row>
    <row r="202" spans="1:31" ht="3" customHeight="1" x14ac:dyDescent="0.15">
      <c r="A202" s="3"/>
      <c r="B202" s="259"/>
      <c r="C202" s="308"/>
      <c r="D202" s="287"/>
      <c r="E202" s="259"/>
      <c r="F202" s="259"/>
      <c r="G202" s="259"/>
      <c r="H202" s="259"/>
      <c r="I202" s="259"/>
      <c r="J202" s="253"/>
      <c r="K202" s="259"/>
      <c r="L202" s="253"/>
      <c r="M202" s="405"/>
      <c r="N202" s="405"/>
      <c r="O202" s="405"/>
      <c r="P202" s="302"/>
      <c r="Q202" s="401"/>
      <c r="R202" s="302"/>
      <c r="S202" s="302"/>
      <c r="T202" s="3"/>
      <c r="U202" s="92"/>
      <c r="V202" s="92"/>
      <c r="W202" s="92"/>
      <c r="X202" s="92"/>
      <c r="Y202" s="92"/>
      <c r="Z202" s="92"/>
      <c r="AA202" s="92"/>
      <c r="AB202" s="92"/>
      <c r="AC202" s="92"/>
      <c r="AD202" s="92"/>
      <c r="AE202" s="92"/>
    </row>
    <row r="203" spans="1:31" ht="11.25" customHeight="1" x14ac:dyDescent="0.15">
      <c r="A203" s="3"/>
      <c r="B203" s="259"/>
      <c r="C203" s="200" t="s">
        <v>592</v>
      </c>
      <c r="D203" s="67"/>
      <c r="E203" s="67"/>
      <c r="F203" s="67"/>
      <c r="G203" s="67"/>
      <c r="H203" s="67"/>
      <c r="I203" s="258"/>
      <c r="J203" s="253"/>
      <c r="K203" s="590">
        <f>J168</f>
        <v>0</v>
      </c>
      <c r="L203" s="253"/>
      <c r="M203" s="404">
        <f ca="1">L168</f>
        <v>0</v>
      </c>
      <c r="N203" s="405"/>
      <c r="O203" s="406">
        <f ca="1">N168</f>
        <v>0</v>
      </c>
      <c r="P203" s="259"/>
      <c r="Q203" s="253"/>
      <c r="R203" s="259"/>
      <c r="S203" s="259"/>
      <c r="T203" s="3"/>
      <c r="U203" s="92"/>
      <c r="V203" s="92"/>
      <c r="W203" s="92"/>
      <c r="X203" s="92"/>
      <c r="Y203" s="92"/>
      <c r="Z203" s="92"/>
      <c r="AA203" s="92"/>
      <c r="AB203" s="92"/>
      <c r="AC203" s="92"/>
      <c r="AD203" s="92"/>
      <c r="AE203" s="92"/>
    </row>
    <row r="204" spans="1:31" ht="3" customHeight="1" x14ac:dyDescent="0.15">
      <c r="A204" s="3"/>
      <c r="B204" s="259"/>
      <c r="C204" s="309"/>
      <c r="D204" s="259"/>
      <c r="E204" s="259"/>
      <c r="F204" s="259"/>
      <c r="G204" s="259"/>
      <c r="H204" s="259"/>
      <c r="I204" s="259"/>
      <c r="J204" s="253"/>
      <c r="K204" s="259"/>
      <c r="L204" s="253"/>
      <c r="M204" s="405"/>
      <c r="N204" s="405"/>
      <c r="O204" s="405"/>
      <c r="P204" s="259"/>
      <c r="Q204" s="253"/>
      <c r="R204" s="259"/>
      <c r="S204" s="259"/>
      <c r="T204" s="3"/>
      <c r="U204" s="92"/>
      <c r="V204" s="92"/>
      <c r="W204" s="92"/>
      <c r="X204" s="92"/>
      <c r="Y204" s="92"/>
      <c r="Z204" s="92"/>
      <c r="AA204" s="92"/>
      <c r="AB204" s="92"/>
      <c r="AC204" s="92"/>
      <c r="AD204" s="92"/>
      <c r="AE204" s="92"/>
    </row>
    <row r="205" spans="1:31" x14ac:dyDescent="0.15">
      <c r="A205" s="3"/>
      <c r="B205" s="259"/>
      <c r="C205" s="200" t="s">
        <v>593</v>
      </c>
      <c r="D205" s="67"/>
      <c r="E205" s="67"/>
      <c r="F205" s="67"/>
      <c r="G205" s="67"/>
      <c r="H205" s="67"/>
      <c r="I205" s="258"/>
      <c r="J205" s="253"/>
      <c r="K205" s="591">
        <f>J183</f>
        <v>0</v>
      </c>
      <c r="L205" s="253"/>
      <c r="M205" s="467">
        <f>L183</f>
        <v>0</v>
      </c>
      <c r="N205" s="405"/>
      <c r="O205" s="406">
        <f>N183</f>
        <v>0</v>
      </c>
      <c r="P205" s="259"/>
      <c r="Q205" s="253"/>
      <c r="R205" s="259"/>
      <c r="S205" s="259"/>
      <c r="T205" s="3"/>
      <c r="U205" s="92"/>
      <c r="V205" s="92"/>
      <c r="W205" s="92"/>
      <c r="X205" s="92"/>
      <c r="Y205" s="92"/>
      <c r="Z205" s="92"/>
      <c r="AA205" s="92"/>
      <c r="AB205" s="92"/>
      <c r="AC205" s="92"/>
      <c r="AD205" s="92"/>
      <c r="AE205" s="92"/>
    </row>
    <row r="206" spans="1:31" ht="11.25" customHeight="1" thickBot="1" x14ac:dyDescent="0.2">
      <c r="A206" s="3"/>
      <c r="B206" s="259"/>
      <c r="C206" s="259"/>
      <c r="D206" s="287"/>
      <c r="E206" s="259"/>
      <c r="F206" s="259"/>
      <c r="G206" s="259"/>
      <c r="H206" s="259"/>
      <c r="I206" s="259"/>
      <c r="J206" s="253"/>
      <c r="K206" s="259"/>
      <c r="L206" s="253"/>
      <c r="M206" s="405"/>
      <c r="N206" s="405"/>
      <c r="O206" s="405"/>
      <c r="P206" s="302"/>
      <c r="Q206" s="401"/>
      <c r="R206" s="302"/>
      <c r="S206" s="302"/>
      <c r="T206" s="3"/>
      <c r="U206" s="92"/>
      <c r="V206" s="92"/>
      <c r="W206" s="92"/>
      <c r="X206" s="92"/>
      <c r="Y206" s="92"/>
      <c r="Z206" s="92"/>
      <c r="AA206" s="92"/>
      <c r="AB206" s="92"/>
      <c r="AC206" s="92"/>
      <c r="AD206" s="92"/>
      <c r="AE206" s="92"/>
    </row>
    <row r="207" spans="1:31" ht="11.25" customHeight="1" x14ac:dyDescent="0.15">
      <c r="A207" s="3"/>
      <c r="B207" s="259"/>
      <c r="C207" s="654" t="s">
        <v>19</v>
      </c>
      <c r="D207" s="655"/>
      <c r="E207" s="655"/>
      <c r="F207" s="655"/>
      <c r="G207" s="655"/>
      <c r="H207" s="655"/>
      <c r="I207" s="656"/>
      <c r="J207" s="284"/>
      <c r="K207" s="663">
        <f>SUM(K193:K205)</f>
        <v>0</v>
      </c>
      <c r="L207" s="284"/>
      <c r="M207" s="734">
        <f ca="1">SUM(M193:M205)</f>
        <v>0</v>
      </c>
      <c r="N207" s="405"/>
      <c r="O207" s="684">
        <f ca="1">SUM(O193:O203)</f>
        <v>0</v>
      </c>
      <c r="P207" s="259"/>
      <c r="Q207" s="639">
        <f>SUM(Q195:Q201)</f>
        <v>0</v>
      </c>
      <c r="R207" s="259"/>
      <c r="S207" s="259"/>
      <c r="T207" s="3"/>
      <c r="U207" s="92"/>
      <c r="V207" s="92"/>
      <c r="W207" s="92"/>
      <c r="X207" s="92"/>
      <c r="Y207" s="92"/>
      <c r="Z207" s="92"/>
      <c r="AA207" s="92"/>
      <c r="AB207" s="92"/>
      <c r="AC207" s="92"/>
      <c r="AD207" s="92"/>
      <c r="AE207" s="92"/>
    </row>
    <row r="208" spans="1:31" ht="11.25" customHeight="1" thickBot="1" x14ac:dyDescent="0.2">
      <c r="A208" s="3"/>
      <c r="B208" s="259"/>
      <c r="C208" s="657"/>
      <c r="D208" s="658"/>
      <c r="E208" s="658"/>
      <c r="F208" s="658"/>
      <c r="G208" s="658"/>
      <c r="H208" s="658"/>
      <c r="I208" s="659"/>
      <c r="J208" s="284"/>
      <c r="K208" s="664"/>
      <c r="L208" s="284"/>
      <c r="M208" s="735"/>
      <c r="N208" s="405"/>
      <c r="O208" s="685"/>
      <c r="P208" s="259"/>
      <c r="Q208" s="640"/>
      <c r="R208" s="259"/>
      <c r="S208" s="259"/>
      <c r="T208" s="3"/>
      <c r="U208" s="92"/>
      <c r="V208" s="92"/>
      <c r="W208" s="92"/>
      <c r="X208" s="92"/>
      <c r="Y208" s="92"/>
      <c r="Z208" s="92"/>
      <c r="AA208" s="92"/>
      <c r="AB208" s="92"/>
      <c r="AC208" s="92"/>
      <c r="AD208" s="92"/>
      <c r="AE208" s="92"/>
    </row>
    <row r="209" spans="1:31" ht="11.25" customHeight="1" x14ac:dyDescent="0.15">
      <c r="A209" s="3"/>
      <c r="B209" s="259"/>
      <c r="C209" s="660"/>
      <c r="D209" s="661"/>
      <c r="E209" s="661"/>
      <c r="F209" s="661"/>
      <c r="G209" s="661"/>
      <c r="H209" s="661"/>
      <c r="I209" s="662"/>
      <c r="J209" s="284"/>
      <c r="K209" s="588" t="s">
        <v>609</v>
      </c>
      <c r="L209" s="284"/>
      <c r="M209" s="449" t="s">
        <v>190</v>
      </c>
      <c r="N209" s="447"/>
      <c r="O209" s="448" t="s">
        <v>187</v>
      </c>
      <c r="P209" s="447"/>
      <c r="Q209" s="578" t="s">
        <v>21</v>
      </c>
      <c r="R209" s="259"/>
      <c r="S209" s="259"/>
      <c r="T209" s="3"/>
      <c r="U209" s="92"/>
      <c r="V209" s="92"/>
      <c r="W209" s="92"/>
      <c r="X209" s="92"/>
      <c r="Y209" s="92"/>
      <c r="Z209" s="92"/>
      <c r="AA209" s="92"/>
      <c r="AB209" s="92"/>
      <c r="AC209" s="92"/>
      <c r="AD209" s="92"/>
      <c r="AE209" s="92"/>
    </row>
    <row r="210" spans="1:31" ht="11.25" customHeight="1" x14ac:dyDescent="0.15">
      <c r="A210" s="3"/>
      <c r="B210" s="259"/>
      <c r="C210" s="303"/>
      <c r="D210" s="303"/>
      <c r="E210" s="303"/>
      <c r="F210" s="303"/>
      <c r="G210" s="303"/>
      <c r="H210" s="303"/>
      <c r="I210" s="303"/>
      <c r="J210" s="304"/>
      <c r="K210" s="303"/>
      <c r="L210" s="304"/>
      <c r="M210" s="304"/>
      <c r="N210" s="304"/>
      <c r="O210" s="304"/>
      <c r="P210" s="304"/>
      <c r="Q210" s="304"/>
      <c r="R210" s="304"/>
      <c r="S210" s="304"/>
      <c r="T210" s="3"/>
      <c r="U210" s="92"/>
      <c r="V210" s="92"/>
      <c r="W210" s="92"/>
      <c r="X210" s="92"/>
      <c r="Y210" s="92"/>
      <c r="Z210" s="92"/>
      <c r="AA210" s="92"/>
      <c r="AB210" s="92"/>
      <c r="AC210" s="92"/>
      <c r="AD210" s="92"/>
      <c r="AE210" s="92"/>
    </row>
    <row r="211" spans="1:31" ht="3.75" customHeight="1" x14ac:dyDescent="0.15">
      <c r="A211" s="3"/>
      <c r="B211" s="3"/>
      <c r="C211" s="236"/>
      <c r="D211" s="236"/>
      <c r="E211" s="236"/>
      <c r="F211" s="236"/>
      <c r="G211" s="236"/>
      <c r="H211" s="236"/>
      <c r="I211" s="236"/>
      <c r="J211" s="236"/>
      <c r="K211" s="236"/>
      <c r="L211" s="236"/>
      <c r="M211" s="236"/>
      <c r="N211" s="236"/>
      <c r="O211" s="236"/>
      <c r="P211" s="236"/>
      <c r="Q211" s="236"/>
      <c r="R211" s="236"/>
      <c r="S211" s="237"/>
      <c r="T211" s="3"/>
      <c r="U211" s="92"/>
      <c r="V211" s="92"/>
      <c r="W211" s="92"/>
      <c r="X211" s="92"/>
      <c r="Y211" s="92"/>
      <c r="Z211" s="92"/>
      <c r="AA211" s="92"/>
      <c r="AB211" s="92"/>
      <c r="AC211" s="92"/>
      <c r="AD211" s="92"/>
      <c r="AE211" s="92"/>
    </row>
    <row r="212" spans="1:31" x14ac:dyDescent="0.15">
      <c r="A212" s="3"/>
      <c r="B212" s="253"/>
      <c r="C212" s="253"/>
      <c r="D212" s="253"/>
      <c r="E212" s="253"/>
      <c r="F212" s="253"/>
      <c r="G212" s="253"/>
      <c r="H212" s="253"/>
      <c r="I212" s="253"/>
      <c r="J212" s="253"/>
      <c r="K212" s="253"/>
      <c r="L212" s="253"/>
      <c r="M212" s="253"/>
      <c r="N212" s="253"/>
      <c r="O212" s="253"/>
      <c r="P212" s="253"/>
      <c r="Q212" s="253"/>
      <c r="R212" s="253"/>
      <c r="S212" s="253"/>
      <c r="T212" s="3"/>
      <c r="U212" s="92"/>
      <c r="V212" s="92"/>
      <c r="W212" s="92"/>
      <c r="X212" s="92"/>
      <c r="Y212" s="92"/>
      <c r="Z212" s="92"/>
      <c r="AA212" s="92"/>
      <c r="AB212" s="92"/>
      <c r="AC212" s="92"/>
      <c r="AD212" s="92"/>
      <c r="AE212" s="92"/>
    </row>
    <row r="213" spans="1:31" x14ac:dyDescent="0.15">
      <c r="A213" s="93"/>
      <c r="B213" s="253"/>
      <c r="C213" s="274" t="s">
        <v>195</v>
      </c>
      <c r="D213" s="253"/>
      <c r="E213" s="253"/>
      <c r="F213" s="253"/>
      <c r="G213" s="253"/>
      <c r="H213" s="253"/>
      <c r="I213" s="253"/>
      <c r="J213" s="253"/>
      <c r="K213" s="253"/>
      <c r="L213" s="253"/>
      <c r="M213" s="253"/>
      <c r="N213" s="253"/>
      <c r="O213" s="253"/>
      <c r="P213" s="253"/>
      <c r="Q213" s="253"/>
      <c r="R213" s="253"/>
      <c r="S213" s="253"/>
      <c r="T213" s="3"/>
      <c r="U213" s="92"/>
      <c r="V213" s="92"/>
      <c r="W213" s="92"/>
      <c r="X213" s="92"/>
      <c r="Y213" s="92"/>
      <c r="Z213" s="92"/>
      <c r="AA213" s="92"/>
      <c r="AB213" s="92"/>
      <c r="AC213" s="92"/>
      <c r="AD213" s="92"/>
      <c r="AE213" s="92"/>
    </row>
    <row r="214" spans="1:31" ht="11.25" customHeight="1" x14ac:dyDescent="0.15">
      <c r="A214" s="93"/>
      <c r="B214" s="253"/>
      <c r="C214" s="255" t="s">
        <v>196</v>
      </c>
      <c r="D214" s="265"/>
      <c r="E214" s="265"/>
      <c r="F214" s="265"/>
      <c r="G214" s="265"/>
      <c r="H214" s="265"/>
      <c r="I214" s="265"/>
      <c r="J214" s="265"/>
      <c r="K214" s="265"/>
      <c r="L214" s="265"/>
      <c r="M214" s="265"/>
      <c r="N214" s="265"/>
      <c r="O214" s="265"/>
      <c r="P214" s="265"/>
      <c r="Q214" s="265"/>
      <c r="R214" s="265"/>
      <c r="S214" s="265"/>
      <c r="T214" s="3"/>
      <c r="V214" s="92"/>
      <c r="W214" s="92"/>
      <c r="X214" s="92"/>
      <c r="Y214" s="92"/>
      <c r="Z214" s="92"/>
      <c r="AA214" s="92"/>
      <c r="AB214" s="92"/>
      <c r="AC214" s="92"/>
      <c r="AD214" s="92"/>
      <c r="AE214" s="92"/>
    </row>
    <row r="215" spans="1:31" ht="11.25" customHeight="1" x14ac:dyDescent="0.15">
      <c r="A215" s="93"/>
      <c r="B215" s="253"/>
      <c r="C215" s="265"/>
      <c r="D215" s="265"/>
      <c r="E215" s="265"/>
      <c r="F215" s="265"/>
      <c r="G215" s="265"/>
      <c r="H215" s="265"/>
      <c r="I215" s="265"/>
      <c r="J215" s="265"/>
      <c r="K215" s="265"/>
      <c r="L215" s="265"/>
      <c r="M215" s="265"/>
      <c r="N215" s="265"/>
      <c r="O215" s="265"/>
      <c r="P215" s="265"/>
      <c r="Q215" s="265"/>
      <c r="R215" s="265"/>
      <c r="S215" s="265"/>
      <c r="T215" s="3"/>
      <c r="V215" s="92"/>
      <c r="W215" s="92"/>
      <c r="X215" s="92"/>
      <c r="Y215" s="92"/>
      <c r="Z215" s="92"/>
      <c r="AA215" s="92"/>
      <c r="AB215" s="92"/>
      <c r="AC215" s="92"/>
      <c r="AD215" s="92"/>
      <c r="AE215" s="92"/>
    </row>
    <row r="216" spans="1:31" x14ac:dyDescent="0.15">
      <c r="A216" s="93"/>
      <c r="B216" s="253"/>
      <c r="C216" s="522"/>
      <c r="D216" s="523"/>
      <c r="E216" s="523"/>
      <c r="F216" s="583"/>
      <c r="G216" s="256"/>
      <c r="H216" s="259"/>
      <c r="I216" s="259"/>
      <c r="J216" s="555"/>
      <c r="K216" s="556"/>
      <c r="L216" s="556"/>
      <c r="M216" s="556"/>
      <c r="N216" s="556"/>
      <c r="O216" s="556"/>
      <c r="P216" s="557"/>
      <c r="Q216" s="259"/>
      <c r="R216" s="259"/>
      <c r="S216" s="259"/>
      <c r="T216" s="3"/>
      <c r="V216" s="92"/>
      <c r="W216" s="92"/>
      <c r="X216" s="92"/>
      <c r="Y216" s="92"/>
      <c r="Z216" s="92"/>
      <c r="AA216" s="92"/>
      <c r="AB216" s="92"/>
      <c r="AC216" s="92"/>
      <c r="AD216" s="92"/>
      <c r="AE216" s="92"/>
    </row>
    <row r="217" spans="1:31" ht="11.25" customHeight="1" x14ac:dyDescent="0.15">
      <c r="A217" s="93"/>
      <c r="B217" s="253"/>
      <c r="C217" s="586"/>
      <c r="D217" s="224" t="s">
        <v>24</v>
      </c>
      <c r="E217" s="225" t="s">
        <v>25</v>
      </c>
      <c r="F217" s="584"/>
      <c r="G217" s="256"/>
      <c r="H217" s="253"/>
      <c r="I217" s="253"/>
      <c r="J217" s="558"/>
      <c r="K217" s="227" t="s">
        <v>26</v>
      </c>
      <c r="L217" s="785" t="s">
        <v>27</v>
      </c>
      <c r="M217" s="786"/>
      <c r="N217" s="786"/>
      <c r="O217" s="787"/>
      <c r="P217" s="563"/>
      <c r="Q217" s="310"/>
      <c r="R217" s="310"/>
      <c r="S217" s="253"/>
      <c r="T217" s="3"/>
      <c r="V217" s="92"/>
      <c r="W217" s="92"/>
      <c r="X217" s="92"/>
      <c r="Y217" s="92"/>
      <c r="Z217" s="92"/>
      <c r="AA217" s="92"/>
      <c r="AB217" s="92"/>
      <c r="AC217" s="92"/>
      <c r="AD217" s="92"/>
      <c r="AE217" s="92"/>
    </row>
    <row r="218" spans="1:31" ht="11.25" customHeight="1" x14ac:dyDescent="0.15">
      <c r="A218" s="93"/>
      <c r="B218" s="253"/>
      <c r="C218" s="587"/>
      <c r="D218" s="223">
        <f ca="1">'DB materialer'!BV7</f>
        <v>0</v>
      </c>
      <c r="E218" s="270">
        <f ca="1">'DB materialer'!BW7</f>
        <v>0</v>
      </c>
      <c r="F218" s="500"/>
      <c r="G218" s="256"/>
      <c r="H218" s="253"/>
      <c r="I218" s="253"/>
      <c r="J218" s="559"/>
      <c r="K218" s="233">
        <f ca="1">'DB energi'!AA6</f>
        <v>0</v>
      </c>
      <c r="L218" s="746">
        <f ca="1">'DB energi'!AB6</f>
        <v>0</v>
      </c>
      <c r="M218" s="747"/>
      <c r="N218" s="747"/>
      <c r="O218" s="748"/>
      <c r="P218" s="564"/>
      <c r="Q218" s="311"/>
      <c r="R218" s="311"/>
      <c r="S218" s="253"/>
      <c r="T218" s="3"/>
      <c r="V218" s="92"/>
      <c r="W218" s="92"/>
      <c r="X218" s="92"/>
      <c r="Y218" s="92"/>
      <c r="Z218" s="92"/>
      <c r="AA218" s="92"/>
      <c r="AB218" s="92"/>
      <c r="AC218" s="92"/>
      <c r="AD218" s="92"/>
      <c r="AE218" s="92"/>
    </row>
    <row r="219" spans="1:31" ht="11.25" customHeight="1" x14ac:dyDescent="0.15">
      <c r="A219" s="93"/>
      <c r="B219" s="253"/>
      <c r="C219" s="587"/>
      <c r="D219" s="223">
        <f ca="1">'DB materialer'!BV8</f>
        <v>0</v>
      </c>
      <c r="E219" s="270">
        <f ca="1">'DB materialer'!BW8</f>
        <v>0</v>
      </c>
      <c r="F219" s="500"/>
      <c r="G219" s="256"/>
      <c r="H219" s="253"/>
      <c r="I219" s="253"/>
      <c r="J219" s="559"/>
      <c r="K219" s="233">
        <f ca="1">'DB energi'!AA7</f>
        <v>0</v>
      </c>
      <c r="L219" s="746">
        <f ca="1">'DB energi'!AB7</f>
        <v>0</v>
      </c>
      <c r="M219" s="747"/>
      <c r="N219" s="747"/>
      <c r="O219" s="748"/>
      <c r="P219" s="564"/>
      <c r="Q219" s="311"/>
      <c r="R219" s="311"/>
      <c r="S219" s="253"/>
      <c r="T219" s="3"/>
      <c r="V219" s="92"/>
      <c r="W219" s="92"/>
      <c r="X219" s="92"/>
      <c r="Y219" s="92"/>
      <c r="Z219" s="92"/>
      <c r="AA219" s="92"/>
      <c r="AB219" s="92"/>
      <c r="AC219" s="92"/>
      <c r="AD219" s="92"/>
      <c r="AE219" s="92"/>
    </row>
    <row r="220" spans="1:31" ht="11.25" customHeight="1" x14ac:dyDescent="0.15">
      <c r="A220" s="93"/>
      <c r="B220" s="253"/>
      <c r="C220" s="587"/>
      <c r="D220" s="223">
        <f ca="1">'DB materialer'!BV9</f>
        <v>0</v>
      </c>
      <c r="E220" s="270">
        <f ca="1">'DB materialer'!BW9</f>
        <v>0</v>
      </c>
      <c r="F220" s="500"/>
      <c r="G220" s="256"/>
      <c r="H220" s="253"/>
      <c r="I220" s="253"/>
      <c r="J220" s="559"/>
      <c r="K220" s="233">
        <f ca="1">'DB energi'!AA8</f>
        <v>0</v>
      </c>
      <c r="L220" s="746">
        <f ca="1">'DB energi'!AB8</f>
        <v>0</v>
      </c>
      <c r="M220" s="747"/>
      <c r="N220" s="747"/>
      <c r="O220" s="748"/>
      <c r="P220" s="564"/>
      <c r="Q220" s="311"/>
      <c r="R220" s="311"/>
      <c r="S220" s="253"/>
      <c r="T220" s="3"/>
      <c r="V220" s="92"/>
      <c r="W220" s="92"/>
      <c r="X220" s="92"/>
      <c r="Y220" s="92"/>
      <c r="Z220" s="92"/>
      <c r="AA220" s="92"/>
      <c r="AB220" s="92"/>
      <c r="AC220" s="92"/>
      <c r="AD220" s="92"/>
      <c r="AE220" s="92"/>
    </row>
    <row r="221" spans="1:31" ht="11.25" customHeight="1" x14ac:dyDescent="0.15">
      <c r="A221" s="93"/>
      <c r="B221" s="253"/>
      <c r="C221" s="587"/>
      <c r="D221" s="223">
        <f ca="1">'DB materialer'!BV10</f>
        <v>0</v>
      </c>
      <c r="E221" s="270">
        <f ca="1">'DB materialer'!BW10</f>
        <v>0</v>
      </c>
      <c r="F221" s="500"/>
      <c r="G221" s="256"/>
      <c r="H221" s="253"/>
      <c r="I221" s="253"/>
      <c r="J221" s="559"/>
      <c r="K221" s="233">
        <f ca="1">'DB energi'!AA9</f>
        <v>0</v>
      </c>
      <c r="L221" s="746">
        <f ca="1">'DB energi'!AB9</f>
        <v>0</v>
      </c>
      <c r="M221" s="747"/>
      <c r="N221" s="747"/>
      <c r="O221" s="748"/>
      <c r="P221" s="564"/>
      <c r="Q221" s="311"/>
      <c r="R221" s="311"/>
      <c r="S221" s="253"/>
      <c r="T221" s="3"/>
      <c r="V221" s="92"/>
      <c r="W221" s="92"/>
      <c r="X221" s="92"/>
      <c r="Y221" s="92"/>
      <c r="Z221" s="92"/>
      <c r="AA221" s="92"/>
      <c r="AB221" s="92"/>
      <c r="AC221" s="92"/>
      <c r="AD221" s="92"/>
      <c r="AE221" s="92"/>
    </row>
    <row r="222" spans="1:31" ht="11.25" customHeight="1" x14ac:dyDescent="0.15">
      <c r="A222" s="93"/>
      <c r="B222" s="253"/>
      <c r="C222" s="587"/>
      <c r="D222" s="223">
        <f ca="1">'DB materialer'!BV11</f>
        <v>0</v>
      </c>
      <c r="E222" s="270">
        <f ca="1">'DB materialer'!BW11</f>
        <v>0</v>
      </c>
      <c r="F222" s="500"/>
      <c r="G222" s="256"/>
      <c r="H222" s="253"/>
      <c r="I222" s="253"/>
      <c r="J222" s="559"/>
      <c r="K222" s="233">
        <f ca="1">'DB energi'!AA10</f>
        <v>0</v>
      </c>
      <c r="L222" s="746">
        <f ca="1">'DB energi'!AB10</f>
        <v>0</v>
      </c>
      <c r="M222" s="747"/>
      <c r="N222" s="747"/>
      <c r="O222" s="748"/>
      <c r="P222" s="564"/>
      <c r="Q222" s="311"/>
      <c r="R222" s="311"/>
      <c r="S222" s="253"/>
      <c r="T222" s="3"/>
      <c r="V222" s="92"/>
      <c r="W222" s="92"/>
      <c r="X222" s="92"/>
      <c r="Y222" s="92"/>
      <c r="Z222" s="92"/>
      <c r="AA222" s="92"/>
      <c r="AB222" s="92"/>
      <c r="AC222" s="92"/>
      <c r="AD222" s="92"/>
      <c r="AE222" s="92"/>
    </row>
    <row r="223" spans="1:31" x14ac:dyDescent="0.15">
      <c r="A223" s="93"/>
      <c r="B223" s="253"/>
      <c r="C223" s="587"/>
      <c r="D223" s="223">
        <f ca="1">'DB materialer'!BV12</f>
        <v>0</v>
      </c>
      <c r="E223" s="270">
        <f ca="1">'DB materialer'!BW12</f>
        <v>0</v>
      </c>
      <c r="F223" s="500"/>
      <c r="G223" s="256"/>
      <c r="H223" s="253"/>
      <c r="I223" s="253"/>
      <c r="J223" s="559"/>
      <c r="K223" s="233">
        <f ca="1">'DB energi'!AA11</f>
        <v>0</v>
      </c>
      <c r="L223" s="746">
        <f ca="1">'DB energi'!AB11</f>
        <v>0</v>
      </c>
      <c r="M223" s="747"/>
      <c r="N223" s="747"/>
      <c r="O223" s="748"/>
      <c r="P223" s="564"/>
      <c r="Q223" s="311"/>
      <c r="R223" s="311"/>
      <c r="S223" s="253"/>
      <c r="T223" s="3"/>
      <c r="V223" s="92"/>
      <c r="W223" s="92"/>
      <c r="X223" s="92"/>
      <c r="Y223" s="92"/>
      <c r="Z223" s="92"/>
      <c r="AA223" s="92"/>
      <c r="AB223" s="92"/>
      <c r="AC223" s="92"/>
      <c r="AD223" s="92"/>
      <c r="AE223" s="92"/>
    </row>
    <row r="224" spans="1:31" x14ac:dyDescent="0.15">
      <c r="A224" s="93"/>
      <c r="B224" s="253"/>
      <c r="C224" s="587"/>
      <c r="D224" s="223">
        <f ca="1">'DB materialer'!BV13</f>
        <v>0</v>
      </c>
      <c r="E224" s="270">
        <f ca="1">'DB materialer'!BW13</f>
        <v>0</v>
      </c>
      <c r="F224" s="500"/>
      <c r="G224" s="256"/>
      <c r="H224" s="253"/>
      <c r="I224" s="253"/>
      <c r="J224" s="559">
        <f ca="1">'DB energi'!AA12</f>
        <v>0</v>
      </c>
      <c r="K224" s="233">
        <f ca="1">'DB energi'!AA12</f>
        <v>0</v>
      </c>
      <c r="L224" s="746">
        <f ca="1">'DB energi'!AB12</f>
        <v>0</v>
      </c>
      <c r="M224" s="747"/>
      <c r="N224" s="747"/>
      <c r="O224" s="748"/>
      <c r="P224" s="564"/>
      <c r="Q224" s="311"/>
      <c r="R224" s="311"/>
      <c r="S224" s="253"/>
      <c r="T224" s="3"/>
      <c r="U224" s="92"/>
      <c r="V224" s="92"/>
      <c r="W224" s="92"/>
      <c r="X224" s="92"/>
      <c r="Y224" s="92"/>
      <c r="Z224" s="92"/>
      <c r="AA224" s="92"/>
      <c r="AB224" s="92"/>
      <c r="AC224" s="92"/>
      <c r="AD224" s="92"/>
      <c r="AE224" s="92"/>
    </row>
    <row r="225" spans="1:31" x14ac:dyDescent="0.15">
      <c r="A225" s="93"/>
      <c r="B225" s="253"/>
      <c r="C225" s="587"/>
      <c r="D225" s="223">
        <f ca="1">'DB materialer'!BV14</f>
        <v>0</v>
      </c>
      <c r="E225" s="270">
        <f ca="1">'DB materialer'!BW14</f>
        <v>0</v>
      </c>
      <c r="F225" s="500"/>
      <c r="G225" s="256"/>
      <c r="H225" s="253"/>
      <c r="I225" s="253"/>
      <c r="J225" s="559">
        <f ca="1">'DB energi'!AA13</f>
        <v>0</v>
      </c>
      <c r="K225" s="233">
        <f ca="1">'DB energi'!AA13</f>
        <v>0</v>
      </c>
      <c r="L225" s="746">
        <f ca="1">'DB energi'!AB13</f>
        <v>0</v>
      </c>
      <c r="M225" s="747"/>
      <c r="N225" s="747"/>
      <c r="O225" s="748"/>
      <c r="P225" s="564"/>
      <c r="Q225" s="311"/>
      <c r="R225" s="311"/>
      <c r="S225" s="253"/>
      <c r="T225" s="3"/>
      <c r="U225" s="92"/>
      <c r="V225" s="92"/>
      <c r="W225" s="92"/>
      <c r="X225" s="92"/>
      <c r="Y225" s="92"/>
      <c r="Z225" s="92"/>
      <c r="AA225" s="92"/>
      <c r="AB225" s="92"/>
      <c r="AC225" s="92"/>
      <c r="AD225" s="92"/>
      <c r="AE225" s="92"/>
    </row>
    <row r="226" spans="1:31" x14ac:dyDescent="0.15">
      <c r="A226" s="93"/>
      <c r="B226" s="253"/>
      <c r="C226" s="587"/>
      <c r="D226" s="223">
        <f ca="1">'DB materialer'!BV15</f>
        <v>0</v>
      </c>
      <c r="E226" s="270">
        <f ca="1">'DB materialer'!BW15</f>
        <v>0</v>
      </c>
      <c r="F226" s="500"/>
      <c r="G226" s="256"/>
      <c r="H226" s="253"/>
      <c r="I226" s="253"/>
      <c r="J226" s="559">
        <f ca="1">'DB energi'!AA14</f>
        <v>0</v>
      </c>
      <c r="K226" s="233">
        <f ca="1">'DB energi'!AA14</f>
        <v>0</v>
      </c>
      <c r="L226" s="746">
        <f ca="1">'DB energi'!AB14</f>
        <v>0</v>
      </c>
      <c r="M226" s="747"/>
      <c r="N226" s="747"/>
      <c r="O226" s="748"/>
      <c r="P226" s="564"/>
      <c r="Q226" s="311"/>
      <c r="R226" s="311"/>
      <c r="S226" s="253"/>
      <c r="T226" s="3"/>
      <c r="U226" s="92"/>
      <c r="V226" s="92"/>
      <c r="W226" s="92"/>
      <c r="X226" s="92"/>
      <c r="Y226" s="92"/>
      <c r="Z226" s="92"/>
      <c r="AA226" s="92"/>
      <c r="AB226" s="92"/>
      <c r="AC226" s="92"/>
      <c r="AD226" s="92"/>
      <c r="AE226" s="92"/>
    </row>
    <row r="227" spans="1:31" ht="12" thickBot="1" x14ac:dyDescent="0.2">
      <c r="A227" s="93"/>
      <c r="B227" s="253"/>
      <c r="C227" s="587"/>
      <c r="D227" s="223">
        <f ca="1">'DB materialer'!BV16</f>
        <v>0</v>
      </c>
      <c r="E227" s="581">
        <f ca="1">'DB materialer'!BW16</f>
        <v>0</v>
      </c>
      <c r="F227" s="500"/>
      <c r="G227" s="256"/>
      <c r="H227" s="253"/>
      <c r="I227" s="253"/>
      <c r="J227" s="559">
        <f ca="1">'DB energi'!AA15</f>
        <v>0</v>
      </c>
      <c r="K227" s="233">
        <f ca="1">'DB energi'!AA15</f>
        <v>0</v>
      </c>
      <c r="L227" s="746">
        <f ca="1">'DB energi'!AB15</f>
        <v>0</v>
      </c>
      <c r="M227" s="747"/>
      <c r="N227" s="747"/>
      <c r="O227" s="748"/>
      <c r="P227" s="564"/>
      <c r="Q227" s="311"/>
      <c r="R227" s="311"/>
      <c r="S227" s="253"/>
      <c r="T227" s="3"/>
      <c r="U227" s="92"/>
      <c r="V227" s="92"/>
      <c r="W227" s="92"/>
      <c r="X227" s="92"/>
      <c r="Y227" s="92"/>
      <c r="Z227" s="92"/>
      <c r="AA227" s="92"/>
      <c r="AB227" s="92"/>
      <c r="AC227" s="92"/>
      <c r="AD227" s="92"/>
      <c r="AE227" s="92"/>
    </row>
    <row r="228" spans="1:31" ht="11.45" customHeight="1" thickBot="1" x14ac:dyDescent="0.2">
      <c r="A228" s="93"/>
      <c r="B228" s="253"/>
      <c r="C228" s="587"/>
      <c r="D228" s="573" t="s">
        <v>606</v>
      </c>
      <c r="E228" s="582">
        <f ca="1">SUM(E218:E227)</f>
        <v>0</v>
      </c>
      <c r="F228" s="500"/>
      <c r="G228" s="253"/>
      <c r="H228" s="253"/>
      <c r="I228" s="253"/>
      <c r="J228" s="559"/>
      <c r="K228" s="574" t="s">
        <v>607</v>
      </c>
      <c r="L228" s="887">
        <f ca="1">SUM(L218:O227)</f>
        <v>0</v>
      </c>
      <c r="M228" s="887"/>
      <c r="N228" s="887"/>
      <c r="O228" s="887"/>
      <c r="P228" s="564"/>
      <c r="Q228" s="311"/>
      <c r="R228" s="311"/>
      <c r="S228" s="253"/>
      <c r="T228" s="3"/>
      <c r="U228" s="92"/>
      <c r="V228" s="92"/>
      <c r="W228" s="92"/>
      <c r="X228" s="92"/>
      <c r="Y228" s="92"/>
      <c r="Z228" s="92"/>
      <c r="AA228" s="92"/>
      <c r="AB228" s="92"/>
      <c r="AC228" s="92"/>
      <c r="AD228" s="92"/>
      <c r="AE228" s="92"/>
    </row>
    <row r="229" spans="1:31" ht="12" customHeight="1" x14ac:dyDescent="0.15">
      <c r="A229" s="93"/>
      <c r="B229" s="253"/>
      <c r="C229" s="585"/>
      <c r="D229" s="520"/>
      <c r="E229" s="520"/>
      <c r="F229" s="437"/>
      <c r="G229" s="253"/>
      <c r="H229" s="253"/>
      <c r="I229" s="253"/>
      <c r="J229" s="560"/>
      <c r="K229" s="561"/>
      <c r="L229" s="561"/>
      <c r="M229" s="561"/>
      <c r="N229" s="561"/>
      <c r="O229" s="561"/>
      <c r="P229" s="562"/>
      <c r="Q229" s="311"/>
      <c r="R229" s="311"/>
      <c r="S229" s="253"/>
      <c r="T229" s="3"/>
      <c r="U229" s="92"/>
      <c r="V229" s="92"/>
      <c r="W229" s="92"/>
      <c r="X229" s="92"/>
      <c r="Y229" s="92"/>
      <c r="Z229" s="92"/>
      <c r="AA229" s="92"/>
      <c r="AB229" s="92"/>
      <c r="AC229" s="92"/>
      <c r="AD229" s="92"/>
      <c r="AE229" s="92"/>
    </row>
    <row r="230" spans="1:31" x14ac:dyDescent="0.15">
      <c r="A230" s="93"/>
      <c r="B230" s="253"/>
      <c r="C230" s="253"/>
      <c r="D230" s="253"/>
      <c r="E230" s="253"/>
      <c r="F230" s="253"/>
      <c r="G230" s="253"/>
      <c r="H230" s="253"/>
      <c r="I230" s="253"/>
      <c r="J230" s="253"/>
      <c r="K230" s="253"/>
      <c r="L230" s="253"/>
      <c r="M230" s="253"/>
      <c r="N230" s="253"/>
      <c r="O230" s="253"/>
      <c r="P230" s="253"/>
      <c r="Q230" s="253"/>
      <c r="R230" s="253"/>
      <c r="S230" s="253"/>
      <c r="T230" s="3"/>
      <c r="U230" s="92"/>
      <c r="V230" s="92"/>
      <c r="W230" s="92"/>
      <c r="X230" s="92"/>
      <c r="Y230" s="92"/>
      <c r="Z230" s="92"/>
      <c r="AA230" s="92"/>
      <c r="AB230" s="92"/>
      <c r="AC230" s="92"/>
      <c r="AD230" s="92"/>
      <c r="AE230" s="92"/>
    </row>
    <row r="231" spans="1:31" x14ac:dyDescent="0.15">
      <c r="A231" s="93"/>
      <c r="B231" s="93"/>
      <c r="C231" s="93"/>
      <c r="D231" s="93"/>
      <c r="E231" s="93"/>
      <c r="F231" s="93"/>
      <c r="G231" s="93"/>
      <c r="H231" s="93"/>
      <c r="I231" s="93"/>
      <c r="J231" s="93"/>
      <c r="K231" s="93"/>
      <c r="L231" s="93"/>
      <c r="M231" s="93"/>
      <c r="N231" s="93"/>
      <c r="O231" s="93"/>
      <c r="P231" s="93"/>
      <c r="Q231" s="93"/>
      <c r="R231" s="93"/>
      <c r="S231" s="93"/>
      <c r="T231" s="3"/>
      <c r="U231" s="92"/>
      <c r="V231" s="92"/>
      <c r="W231" s="92"/>
      <c r="X231" s="92"/>
      <c r="Y231" s="92"/>
      <c r="Z231" s="92"/>
      <c r="AA231" s="92"/>
      <c r="AB231" s="92"/>
      <c r="AC231" s="92"/>
      <c r="AD231" s="92"/>
      <c r="AE231" s="92"/>
    </row>
    <row r="232" spans="1:31" x14ac:dyDescent="0.15">
      <c r="A232" s="3"/>
      <c r="B232" s="259"/>
      <c r="C232" s="259"/>
      <c r="D232" s="259"/>
      <c r="E232" s="259"/>
      <c r="F232" s="259"/>
      <c r="G232" s="259"/>
      <c r="H232" s="259"/>
      <c r="I232" s="259"/>
      <c r="J232" s="259"/>
      <c r="K232" s="259"/>
      <c r="L232" s="259"/>
      <c r="M232" s="259"/>
      <c r="N232" s="259"/>
      <c r="O232" s="259"/>
      <c r="P232" s="259"/>
      <c r="Q232" s="259"/>
      <c r="R232" s="259"/>
      <c r="S232" s="259"/>
      <c r="T232" s="3"/>
      <c r="U232" s="92"/>
      <c r="V232" s="92"/>
      <c r="W232" s="92"/>
      <c r="X232" s="92"/>
      <c r="Y232" s="92"/>
      <c r="Z232" s="92"/>
      <c r="AA232" s="92"/>
      <c r="AB232" s="92"/>
      <c r="AC232" s="92"/>
      <c r="AD232" s="92"/>
      <c r="AE232" s="92"/>
    </row>
    <row r="233" spans="1:31" x14ac:dyDescent="0.15">
      <c r="A233" s="3"/>
      <c r="B233" s="259"/>
      <c r="C233" s="272" t="s">
        <v>197</v>
      </c>
      <c r="D233" s="259"/>
      <c r="E233" s="259"/>
      <c r="F233" s="259"/>
      <c r="G233" s="259"/>
      <c r="H233" s="259"/>
      <c r="I233" s="259"/>
      <c r="J233" s="259"/>
      <c r="K233" s="259"/>
      <c r="L233" s="259"/>
      <c r="M233" s="259"/>
      <c r="N233" s="259"/>
      <c r="O233" s="259"/>
      <c r="P233" s="259"/>
      <c r="Q233" s="259"/>
      <c r="R233" s="259"/>
      <c r="S233" s="259"/>
      <c r="T233" s="3"/>
      <c r="U233" s="92"/>
      <c r="V233" s="92"/>
      <c r="W233" s="92"/>
      <c r="X233" s="92"/>
      <c r="Y233" s="92"/>
      <c r="Z233" s="92"/>
      <c r="AA233" s="92"/>
      <c r="AB233" s="92"/>
      <c r="AC233" s="92"/>
      <c r="AD233" s="92"/>
      <c r="AE233" s="92"/>
    </row>
    <row r="234" spans="1:31" x14ac:dyDescent="0.15">
      <c r="A234" s="3"/>
      <c r="B234" s="259"/>
      <c r="C234" s="259"/>
      <c r="D234" s="259"/>
      <c r="E234" s="259"/>
      <c r="F234" s="259"/>
      <c r="G234" s="259"/>
      <c r="H234" s="259"/>
      <c r="I234" s="259"/>
      <c r="J234" s="259"/>
      <c r="K234" s="259"/>
      <c r="L234" s="259"/>
      <c r="M234" s="259"/>
      <c r="N234" s="259"/>
      <c r="O234" s="259"/>
      <c r="P234" s="259"/>
      <c r="Q234" s="259"/>
      <c r="R234" s="259"/>
      <c r="S234" s="259"/>
      <c r="T234" s="3"/>
      <c r="U234" s="92"/>
      <c r="V234" s="92"/>
      <c r="W234" s="92"/>
      <c r="X234" s="92"/>
      <c r="Y234" s="92"/>
      <c r="Z234" s="92"/>
      <c r="AA234" s="92"/>
      <c r="AB234" s="92"/>
      <c r="AC234" s="92"/>
      <c r="AD234" s="92"/>
      <c r="AE234" s="92"/>
    </row>
    <row r="235" spans="1:31" ht="11.25" customHeight="1" x14ac:dyDescent="0.15">
      <c r="A235" s="3"/>
      <c r="B235" s="259"/>
      <c r="C235" s="723" t="s">
        <v>610</v>
      </c>
      <c r="D235" s="724"/>
      <c r="E235" s="724"/>
      <c r="F235" s="724"/>
      <c r="G235" s="724"/>
      <c r="H235" s="724"/>
      <c r="I235" s="724"/>
      <c r="J235" s="724"/>
      <c r="K235" s="724"/>
      <c r="L235" s="724"/>
      <c r="M235" s="724"/>
      <c r="N235" s="725"/>
      <c r="O235" s="459"/>
      <c r="P235" s="259"/>
      <c r="Q235" s="241" t="s">
        <v>198</v>
      </c>
      <c r="R235" s="259"/>
      <c r="S235" s="259"/>
      <c r="T235" s="3"/>
      <c r="U235" s="92"/>
      <c r="V235" s="92"/>
      <c r="W235" s="92"/>
      <c r="X235" s="92"/>
      <c r="Y235" s="92"/>
      <c r="Z235" s="92"/>
      <c r="AA235" s="92"/>
      <c r="AB235" s="92"/>
      <c r="AC235" s="92"/>
      <c r="AD235" s="92"/>
      <c r="AE235" s="92"/>
    </row>
    <row r="236" spans="1:31" x14ac:dyDescent="0.15">
      <c r="A236" s="3"/>
      <c r="B236" s="259"/>
      <c r="C236" s="726"/>
      <c r="D236" s="727"/>
      <c r="E236" s="727"/>
      <c r="F236" s="727"/>
      <c r="G236" s="727"/>
      <c r="H236" s="727"/>
      <c r="I236" s="727"/>
      <c r="J236" s="727"/>
      <c r="K236" s="727"/>
      <c r="L236" s="727"/>
      <c r="M236" s="727"/>
      <c r="N236" s="728"/>
      <c r="O236" s="459"/>
      <c r="P236" s="259"/>
      <c r="Q236" s="259"/>
      <c r="R236" s="259"/>
      <c r="S236" s="259"/>
      <c r="T236" s="3"/>
      <c r="U236" s="92"/>
      <c r="V236" s="92"/>
      <c r="W236" s="92"/>
      <c r="X236" s="92"/>
      <c r="Y236" s="92"/>
      <c r="Z236" s="92"/>
      <c r="AA236" s="92"/>
      <c r="AB236" s="92"/>
      <c r="AC236" s="92"/>
      <c r="AD236" s="92"/>
      <c r="AE236" s="92"/>
    </row>
    <row r="237" spans="1:31" x14ac:dyDescent="0.15">
      <c r="A237" s="3"/>
      <c r="B237" s="259"/>
      <c r="C237" s="726"/>
      <c r="D237" s="727"/>
      <c r="E237" s="727"/>
      <c r="F237" s="727"/>
      <c r="G237" s="727"/>
      <c r="H237" s="727"/>
      <c r="I237" s="727"/>
      <c r="J237" s="727"/>
      <c r="K237" s="727"/>
      <c r="L237" s="727"/>
      <c r="M237" s="727"/>
      <c r="N237" s="728"/>
      <c r="O237" s="459"/>
      <c r="P237" s="259"/>
      <c r="Q237" s="259"/>
      <c r="R237" s="259"/>
      <c r="S237" s="259"/>
      <c r="T237" s="3"/>
      <c r="U237" s="92"/>
      <c r="V237" s="92"/>
      <c r="W237" s="92"/>
      <c r="X237" s="92"/>
      <c r="Y237" s="92"/>
      <c r="Z237" s="92"/>
      <c r="AA237" s="92"/>
      <c r="AB237" s="92"/>
      <c r="AC237" s="92"/>
      <c r="AD237" s="92"/>
      <c r="AE237" s="92"/>
    </row>
    <row r="238" spans="1:31" x14ac:dyDescent="0.15">
      <c r="A238" s="3"/>
      <c r="B238" s="259"/>
      <c r="C238" s="729"/>
      <c r="D238" s="730"/>
      <c r="E238" s="730"/>
      <c r="F238" s="730"/>
      <c r="G238" s="730"/>
      <c r="H238" s="730"/>
      <c r="I238" s="730"/>
      <c r="J238" s="730"/>
      <c r="K238" s="730"/>
      <c r="L238" s="730"/>
      <c r="M238" s="730"/>
      <c r="N238" s="731"/>
      <c r="O238" s="459"/>
      <c r="P238" s="259"/>
      <c r="Q238" s="259"/>
      <c r="R238" s="259"/>
      <c r="S238" s="259"/>
      <c r="T238" s="3"/>
      <c r="U238" s="92"/>
      <c r="V238" s="92"/>
      <c r="W238" s="92"/>
      <c r="X238" s="92"/>
      <c r="Y238" s="92"/>
      <c r="Z238" s="92"/>
      <c r="AA238" s="92"/>
      <c r="AB238" s="92"/>
      <c r="AC238" s="92"/>
      <c r="AD238" s="92"/>
      <c r="AE238" s="92"/>
    </row>
    <row r="239" spans="1:31" x14ac:dyDescent="0.15">
      <c r="A239" s="3"/>
      <c r="B239" s="259"/>
      <c r="C239" s="259"/>
      <c r="D239" s="259"/>
      <c r="E239" s="259"/>
      <c r="F239" s="259"/>
      <c r="G239" s="259"/>
      <c r="H239" s="259"/>
      <c r="I239" s="259"/>
      <c r="J239" s="259"/>
      <c r="K239" s="259"/>
      <c r="L239" s="259"/>
      <c r="M239" s="259"/>
      <c r="N239" s="259"/>
      <c r="O239" s="259"/>
      <c r="P239" s="259"/>
      <c r="Q239" s="259"/>
      <c r="R239" s="259"/>
      <c r="S239" s="259"/>
      <c r="T239" s="3"/>
      <c r="U239" s="92"/>
      <c r="V239" s="92"/>
      <c r="W239" s="92"/>
      <c r="X239" s="92"/>
      <c r="Y239" s="92"/>
      <c r="Z239" s="92"/>
      <c r="AA239" s="92"/>
      <c r="AB239" s="92"/>
      <c r="AC239" s="92"/>
      <c r="AD239" s="92"/>
      <c r="AE239" s="92"/>
    </row>
    <row r="240" spans="1:31" x14ac:dyDescent="0.15">
      <c r="A240" s="3"/>
      <c r="B240" s="259"/>
      <c r="C240" s="259"/>
      <c r="D240" s="259"/>
      <c r="E240" s="259"/>
      <c r="F240" s="259"/>
      <c r="G240" s="259"/>
      <c r="H240" s="259"/>
      <c r="I240" s="259"/>
      <c r="J240" s="259"/>
      <c r="K240" s="259"/>
      <c r="L240" s="259"/>
      <c r="M240" s="259"/>
      <c r="N240" s="259"/>
      <c r="O240" s="259"/>
      <c r="P240" s="259"/>
      <c r="Q240" s="259"/>
      <c r="R240" s="259"/>
      <c r="S240" s="259"/>
      <c r="T240" s="3"/>
      <c r="U240" s="92"/>
      <c r="V240" s="92"/>
      <c r="W240" s="92"/>
      <c r="X240" s="92"/>
      <c r="Y240" s="92"/>
      <c r="Z240" s="92"/>
      <c r="AA240" s="92"/>
      <c r="AB240" s="92"/>
      <c r="AC240" s="92"/>
      <c r="AD240" s="92"/>
      <c r="AE240" s="92"/>
    </row>
    <row r="241" spans="1:31" x14ac:dyDescent="0.15">
      <c r="A241" s="3"/>
      <c r="B241" s="3"/>
      <c r="C241" s="3"/>
      <c r="D241" s="3"/>
      <c r="E241" s="3"/>
      <c r="F241" s="3"/>
      <c r="G241" s="3"/>
      <c r="H241" s="3"/>
      <c r="I241" s="3"/>
      <c r="J241" s="3"/>
      <c r="K241" s="3"/>
      <c r="L241" s="3"/>
      <c r="M241" s="3"/>
      <c r="N241" s="3"/>
      <c r="O241" s="3"/>
      <c r="P241" s="3"/>
      <c r="Q241" s="3"/>
      <c r="R241" s="3"/>
      <c r="S241" s="3"/>
      <c r="T241" s="3"/>
      <c r="U241" s="92"/>
      <c r="V241" s="92"/>
      <c r="W241" s="92"/>
      <c r="X241" s="92"/>
      <c r="Y241" s="92"/>
      <c r="Z241" s="92"/>
      <c r="AA241" s="92"/>
      <c r="AB241" s="92"/>
      <c r="AC241" s="92"/>
      <c r="AD241" s="92"/>
      <c r="AE241" s="92"/>
    </row>
    <row r="242" spans="1:31" x14ac:dyDescent="0.15">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row>
    <row r="243" spans="1:31" x14ac:dyDescent="0.15">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row>
    <row r="244" spans="1:31" x14ac:dyDescent="0.15">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row>
    <row r="245" spans="1:31" x14ac:dyDescent="0.15">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row>
    <row r="246" spans="1:31" x14ac:dyDescent="0.15">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row>
    <row r="247" spans="1:31" x14ac:dyDescent="0.15">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row>
    <row r="248" spans="1:31" x14ac:dyDescent="0.15">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row>
    <row r="249" spans="1:31" x14ac:dyDescent="0.15">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row>
    <row r="250" spans="1:31" x14ac:dyDescent="0.15">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row>
    <row r="251" spans="1:31" x14ac:dyDescent="0.15">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row>
    <row r="252" spans="1:31" x14ac:dyDescent="0.15">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row>
    <row r="253" spans="1:31" x14ac:dyDescent="0.15">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row>
    <row r="254" spans="1:31" x14ac:dyDescent="0.15">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row>
    <row r="255" spans="1:31" x14ac:dyDescent="0.15">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row>
    <row r="256" spans="1:31" x14ac:dyDescent="0.15">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row>
    <row r="257" spans="1:31" x14ac:dyDescent="0.15">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row>
    <row r="258" spans="1:31" x14ac:dyDescent="0.15">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row>
    <row r="259" spans="1:31" x14ac:dyDescent="0.15">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row>
    <row r="260" spans="1:31" x14ac:dyDescent="0.15">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row>
    <row r="261" spans="1:31" x14ac:dyDescent="0.15">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row>
    <row r="262" spans="1:31" x14ac:dyDescent="0.15">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row>
    <row r="263" spans="1:31" x14ac:dyDescent="0.15">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row>
    <row r="264" spans="1:31" x14ac:dyDescent="0.15">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row>
    <row r="265" spans="1:31" x14ac:dyDescent="0.15">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row>
    <row r="266" spans="1:31" x14ac:dyDescent="0.15">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row>
    <row r="267" spans="1:31" x14ac:dyDescent="0.15">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row>
    <row r="268" spans="1:31" x14ac:dyDescent="0.15">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row>
    <row r="269" spans="1:31" x14ac:dyDescent="0.15">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row>
    <row r="270" spans="1:31" x14ac:dyDescent="0.15">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row>
    <row r="271" spans="1:31" x14ac:dyDescent="0.15">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row>
    <row r="272" spans="1:31" x14ac:dyDescent="0.15">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row>
    <row r="273" spans="1:31" x14ac:dyDescent="0.15">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row>
    <row r="274" spans="1:31" x14ac:dyDescent="0.15">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row>
    <row r="275" spans="1:31" x14ac:dyDescent="0.15">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row>
    <row r="276" spans="1:31" x14ac:dyDescent="0.15">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row>
    <row r="277" spans="1:31" x14ac:dyDescent="0.15">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row>
    <row r="278" spans="1:31" x14ac:dyDescent="0.15">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row>
    <row r="279" spans="1:31" x14ac:dyDescent="0.15">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row>
    <row r="280" spans="1:31" x14ac:dyDescent="0.15">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row>
    <row r="281" spans="1:31" x14ac:dyDescent="0.15">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row>
    <row r="282" spans="1:31" x14ac:dyDescent="0.15">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row>
    <row r="283" spans="1:31" x14ac:dyDescent="0.1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row>
    <row r="284" spans="1:31" x14ac:dyDescent="0.15">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row>
    <row r="285" spans="1:31" x14ac:dyDescent="0.15">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row>
    <row r="286" spans="1:31" x14ac:dyDescent="0.15">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row>
    <row r="287" spans="1:31" x14ac:dyDescent="0.15">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row>
    <row r="288" spans="1:31" x14ac:dyDescent="0.15">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row>
    <row r="289" spans="1:31" x14ac:dyDescent="0.15">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row>
    <row r="290" spans="1:31" x14ac:dyDescent="0.15">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row>
    <row r="291" spans="1:31" x14ac:dyDescent="0.1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row>
    <row r="292" spans="1:31" x14ac:dyDescent="0.15">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row>
    <row r="293" spans="1:31" x14ac:dyDescent="0.15">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row>
    <row r="294" spans="1:31" x14ac:dyDescent="0.15">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row>
    <row r="295" spans="1:31" x14ac:dyDescent="0.15">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row>
    <row r="296" spans="1:31" x14ac:dyDescent="0.15">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row>
    <row r="297" spans="1:31" x14ac:dyDescent="0.15">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row>
    <row r="298" spans="1:31" x14ac:dyDescent="0.15">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row>
    <row r="299" spans="1:31" x14ac:dyDescent="0.15">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row>
    <row r="300" spans="1:31" x14ac:dyDescent="0.1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row>
    <row r="301" spans="1:31" x14ac:dyDescent="0.15">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row>
    <row r="302" spans="1:31" x14ac:dyDescent="0.15">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row>
    <row r="303" spans="1:31" x14ac:dyDescent="0.15">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row>
    <row r="304" spans="1:31" x14ac:dyDescent="0.15">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row>
    <row r="305" spans="1:31" x14ac:dyDescent="0.15">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row>
    <row r="306" spans="1:31" x14ac:dyDescent="0.15">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row>
    <row r="307" spans="1:31" x14ac:dyDescent="0.15">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row>
    <row r="308" spans="1:31" x14ac:dyDescent="0.15">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row>
    <row r="309" spans="1:31" x14ac:dyDescent="0.15">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row>
    <row r="310" spans="1:31" x14ac:dyDescent="0.15">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row>
    <row r="311" spans="1:31" x14ac:dyDescent="0.15">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row>
    <row r="312" spans="1:31" x14ac:dyDescent="0.15">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row>
    <row r="313" spans="1:31" x14ac:dyDescent="0.15">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row>
    <row r="314" spans="1:31" x14ac:dyDescent="0.15">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row>
    <row r="315" spans="1:31" x14ac:dyDescent="0.15">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row>
    <row r="316" spans="1:31" x14ac:dyDescent="0.15">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row>
    <row r="317" spans="1:31" x14ac:dyDescent="0.15">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row>
    <row r="318" spans="1:31" x14ac:dyDescent="0.15">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row>
    <row r="319" spans="1:31" x14ac:dyDescent="0.15">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row>
    <row r="320" spans="1:31" x14ac:dyDescent="0.15">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row>
    <row r="321" spans="1:31" x14ac:dyDescent="0.15">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row>
    <row r="322" spans="1:31" x14ac:dyDescent="0.15">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row>
    <row r="323" spans="1:31" x14ac:dyDescent="0.15">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row>
    <row r="324" spans="1:31" x14ac:dyDescent="0.15">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row>
    <row r="325" spans="1:31" x14ac:dyDescent="0.15">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row>
    <row r="326" spans="1:31" x14ac:dyDescent="0.15">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row>
    <row r="327" spans="1:31" x14ac:dyDescent="0.15">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row>
    <row r="328" spans="1:31" x14ac:dyDescent="0.15">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row>
    <row r="329" spans="1:31" x14ac:dyDescent="0.15">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row>
    <row r="330" spans="1:31" x14ac:dyDescent="0.15">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row>
    <row r="331" spans="1:31" x14ac:dyDescent="0.15">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row>
    <row r="332" spans="1:31" x14ac:dyDescent="0.15">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row>
    <row r="333" spans="1:31" x14ac:dyDescent="0.15">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row>
    <row r="334" spans="1:31" x14ac:dyDescent="0.15">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row>
    <row r="335" spans="1:31" x14ac:dyDescent="0.15">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row>
    <row r="336" spans="1:31" x14ac:dyDescent="0.15">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row>
    <row r="337" spans="1:31" x14ac:dyDescent="0.15">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row>
    <row r="338" spans="1:31" x14ac:dyDescent="0.15">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row>
    <row r="339" spans="1:31" x14ac:dyDescent="0.15">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row>
    <row r="340" spans="1:31" x14ac:dyDescent="0.15">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row>
    <row r="341" spans="1:31" x14ac:dyDescent="0.15">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row>
    <row r="342" spans="1:31" x14ac:dyDescent="0.15">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row>
    <row r="343" spans="1:31" x14ac:dyDescent="0.15">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row>
    <row r="344" spans="1:31" x14ac:dyDescent="0.15">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row>
    <row r="345" spans="1:31" x14ac:dyDescent="0.15">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row>
    <row r="346" spans="1:31" x14ac:dyDescent="0.15">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row>
    <row r="347" spans="1:31" x14ac:dyDescent="0.15">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row>
    <row r="348" spans="1:31" x14ac:dyDescent="0.15">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row>
    <row r="349" spans="1:31" x14ac:dyDescent="0.15">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row>
    <row r="350" spans="1:31" x14ac:dyDescent="0.15">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row>
    <row r="351" spans="1:31" x14ac:dyDescent="0.15">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row>
    <row r="352" spans="1:31" x14ac:dyDescent="0.15">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row>
    <row r="353" spans="1:31" x14ac:dyDescent="0.15">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row>
    <row r="354" spans="1:31" x14ac:dyDescent="0.15">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row>
    <row r="355" spans="1:31" x14ac:dyDescent="0.15">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row>
    <row r="356" spans="1:31" x14ac:dyDescent="0.15">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row>
    <row r="357" spans="1:31" x14ac:dyDescent="0.15">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row>
    <row r="358" spans="1:31" x14ac:dyDescent="0.15">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row>
    <row r="359" spans="1:31" x14ac:dyDescent="0.15">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row>
    <row r="360" spans="1:31" x14ac:dyDescent="0.15">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row>
    <row r="361" spans="1:31" x14ac:dyDescent="0.15">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row>
    <row r="362" spans="1:31" x14ac:dyDescent="0.15">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row>
    <row r="363" spans="1:31" x14ac:dyDescent="0.15">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row>
    <row r="364" spans="1:31" x14ac:dyDescent="0.15">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row>
    <row r="365" spans="1:31" x14ac:dyDescent="0.15">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row>
    <row r="366" spans="1:31" x14ac:dyDescent="0.1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row>
    <row r="367" spans="1:31" x14ac:dyDescent="0.15">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row>
    <row r="368" spans="1:31" x14ac:dyDescent="0.15">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row>
    <row r="369" spans="1:31" x14ac:dyDescent="0.15">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row>
    <row r="370" spans="1:31" x14ac:dyDescent="0.15">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row>
    <row r="371" spans="1:31" x14ac:dyDescent="0.15">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row>
    <row r="372" spans="1:31" x14ac:dyDescent="0.15">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row>
    <row r="373" spans="1:31" x14ac:dyDescent="0.15">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row>
    <row r="374" spans="1:31" x14ac:dyDescent="0.15">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row>
    <row r="375" spans="1:31" x14ac:dyDescent="0.15">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row>
    <row r="376" spans="1:31" x14ac:dyDescent="0.15">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row>
    <row r="377" spans="1:31" x14ac:dyDescent="0.15">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row>
    <row r="378" spans="1:31" x14ac:dyDescent="0.15">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row>
    <row r="379" spans="1:31" x14ac:dyDescent="0.15">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row>
    <row r="380" spans="1:31" x14ac:dyDescent="0.15">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row>
    <row r="381" spans="1:31" x14ac:dyDescent="0.15">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row>
    <row r="382" spans="1:31" x14ac:dyDescent="0.15">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row>
    <row r="383" spans="1:31" x14ac:dyDescent="0.15">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row>
    <row r="384" spans="1:31" x14ac:dyDescent="0.15">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row>
    <row r="385" spans="1:31" x14ac:dyDescent="0.15">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row>
    <row r="386" spans="1:31" x14ac:dyDescent="0.15">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row>
    <row r="387" spans="1:31" x14ac:dyDescent="0.15">
      <c r="A387" s="92"/>
      <c r="B387" s="92"/>
      <c r="C387" s="92"/>
      <c r="D387" s="92" t="s">
        <v>611</v>
      </c>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row>
    <row r="388" spans="1:31" x14ac:dyDescent="0.15">
      <c r="A388" s="92"/>
      <c r="B388" s="92"/>
      <c r="C388" s="92"/>
      <c r="D388" s="92">
        <v>2018</v>
      </c>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row>
    <row r="389" spans="1:31" x14ac:dyDescent="0.15">
      <c r="A389" s="92"/>
      <c r="B389" s="92"/>
      <c r="C389" s="92"/>
      <c r="D389" s="92">
        <v>2019</v>
      </c>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row>
    <row r="390" spans="1:31" x14ac:dyDescent="0.15">
      <c r="A390" s="92"/>
      <c r="B390" s="92"/>
      <c r="C390" s="92"/>
      <c r="D390" s="92">
        <v>2020</v>
      </c>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row>
    <row r="391" spans="1:31" x14ac:dyDescent="0.15">
      <c r="A391" s="92"/>
      <c r="B391" s="92"/>
      <c r="C391" s="92"/>
      <c r="D391" s="92">
        <v>2021</v>
      </c>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row>
    <row r="392" spans="1:31" x14ac:dyDescent="0.15">
      <c r="A392" s="92"/>
      <c r="B392" s="92"/>
      <c r="C392" s="92"/>
      <c r="D392" s="92">
        <v>2022</v>
      </c>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row>
    <row r="393" spans="1:31" x14ac:dyDescent="0.15">
      <c r="A393" s="92"/>
      <c r="B393" s="92"/>
      <c r="C393" s="92"/>
      <c r="D393" s="92">
        <v>2023</v>
      </c>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row>
    <row r="394" spans="1:31" x14ac:dyDescent="0.15">
      <c r="A394" s="92"/>
      <c r="B394" s="92"/>
      <c r="C394" s="92"/>
      <c r="D394" s="92">
        <v>2024</v>
      </c>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row>
    <row r="395" spans="1:31" x14ac:dyDescent="0.15">
      <c r="A395" s="92"/>
      <c r="B395" s="92"/>
      <c r="C395" s="92"/>
      <c r="D395" s="92">
        <v>2025</v>
      </c>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row>
    <row r="396" spans="1:31" x14ac:dyDescent="0.15">
      <c r="A396" s="92"/>
      <c r="B396" s="92"/>
      <c r="C396" s="92"/>
      <c r="D396" s="592" t="s">
        <v>425</v>
      </c>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row>
    <row r="397" spans="1:31" x14ac:dyDescent="0.15">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row>
    <row r="398" spans="1:31" x14ac:dyDescent="0.15">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row>
    <row r="399" spans="1:31" x14ac:dyDescent="0.15">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row>
    <row r="400" spans="1:31" x14ac:dyDescent="0.15">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row>
    <row r="401" spans="1:31" x14ac:dyDescent="0.15">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row>
    <row r="402" spans="1:31" x14ac:dyDescent="0.15">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row>
    <row r="403" spans="1:31" x14ac:dyDescent="0.15">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row>
    <row r="404" spans="1:31" x14ac:dyDescent="0.15">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row>
    <row r="405" spans="1:31" x14ac:dyDescent="0.15">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row>
    <row r="406" spans="1:31" x14ac:dyDescent="0.15">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row>
    <row r="407" spans="1:31" x14ac:dyDescent="0.15">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row>
    <row r="408" spans="1:31" x14ac:dyDescent="0.15">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row>
    <row r="409" spans="1:31" x14ac:dyDescent="0.15">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row>
    <row r="410" spans="1:31" x14ac:dyDescent="0.15">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row>
    <row r="411" spans="1:31" x14ac:dyDescent="0.15">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row>
    <row r="412" spans="1:31" x14ac:dyDescent="0.15">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row>
    <row r="413" spans="1:31" x14ac:dyDescent="0.15">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row>
    <row r="414" spans="1:31" x14ac:dyDescent="0.15">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row>
    <row r="415" spans="1:31" x14ac:dyDescent="0.15">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row>
    <row r="416" spans="1:31" x14ac:dyDescent="0.15">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row>
    <row r="417" spans="1:31" x14ac:dyDescent="0.15">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row>
    <row r="418" spans="1:31" x14ac:dyDescent="0.15">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row>
    <row r="419" spans="1:31" x14ac:dyDescent="0.15">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row>
    <row r="420" spans="1:31" x14ac:dyDescent="0.15">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row>
    <row r="421" spans="1:31" x14ac:dyDescent="0.15">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row>
    <row r="422" spans="1:31" x14ac:dyDescent="0.15">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row>
    <row r="423" spans="1:31" x14ac:dyDescent="0.15">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row>
    <row r="424" spans="1:31" x14ac:dyDescent="0.15">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row>
    <row r="425" spans="1:31" x14ac:dyDescent="0.15">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row>
    <row r="426" spans="1:31" x14ac:dyDescent="0.15">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row>
    <row r="427" spans="1:31" x14ac:dyDescent="0.15">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row>
    <row r="428" spans="1:31" x14ac:dyDescent="0.15">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row>
    <row r="429" spans="1:31" x14ac:dyDescent="0.15">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row>
    <row r="430" spans="1:31" x14ac:dyDescent="0.15">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row>
    <row r="431" spans="1:31" x14ac:dyDescent="0.15">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row>
    <row r="432" spans="1:31" x14ac:dyDescent="0.15">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row>
    <row r="433" spans="1:31" x14ac:dyDescent="0.15">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row>
    <row r="434" spans="1:31" x14ac:dyDescent="0.15">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row>
    <row r="435" spans="1:31" x14ac:dyDescent="0.15">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row>
    <row r="436" spans="1:31" x14ac:dyDescent="0.15">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row>
    <row r="437" spans="1:31" x14ac:dyDescent="0.15">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row>
    <row r="438" spans="1:31" x14ac:dyDescent="0.15">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row>
    <row r="439" spans="1:31" x14ac:dyDescent="0.15">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row>
    <row r="440" spans="1:31" x14ac:dyDescent="0.15">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row>
    <row r="441" spans="1:31" x14ac:dyDescent="0.15">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row>
    <row r="442" spans="1:31" x14ac:dyDescent="0.15">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row>
    <row r="443" spans="1:31" x14ac:dyDescent="0.15">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row>
    <row r="444" spans="1:31" x14ac:dyDescent="0.15">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row>
    <row r="445" spans="1:31" x14ac:dyDescent="0.15">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row>
    <row r="446" spans="1:31" x14ac:dyDescent="0.15">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row>
    <row r="447" spans="1:31" x14ac:dyDescent="0.15">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row>
    <row r="448" spans="1:31" x14ac:dyDescent="0.15">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row>
    <row r="449" spans="1:31" x14ac:dyDescent="0.15">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row>
    <row r="450" spans="1:31" x14ac:dyDescent="0.15">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row>
    <row r="451" spans="1:31" x14ac:dyDescent="0.15">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row>
    <row r="452" spans="1:31" x14ac:dyDescent="0.15">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row>
    <row r="453" spans="1:31" x14ac:dyDescent="0.15">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row>
    <row r="454" spans="1:31" x14ac:dyDescent="0.15">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row>
    <row r="455" spans="1:31" x14ac:dyDescent="0.15">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row>
    <row r="456" spans="1:31" x14ac:dyDescent="0.15">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row>
    <row r="457" spans="1:31" x14ac:dyDescent="0.15">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row>
    <row r="458" spans="1:31" x14ac:dyDescent="0.15">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row>
    <row r="459" spans="1:31" x14ac:dyDescent="0.15">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row>
    <row r="460" spans="1:31" x14ac:dyDescent="0.15">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row>
    <row r="461" spans="1:31" x14ac:dyDescent="0.15">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row>
    <row r="462" spans="1:31" x14ac:dyDescent="0.15">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row>
    <row r="463" spans="1:31" x14ac:dyDescent="0.15">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row>
    <row r="464" spans="1:31" x14ac:dyDescent="0.15">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row>
    <row r="465" spans="1:31" x14ac:dyDescent="0.15">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row>
    <row r="466" spans="1:31" x14ac:dyDescent="0.15">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row>
    <row r="467" spans="1:31" x14ac:dyDescent="0.15">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row>
    <row r="468" spans="1:31" x14ac:dyDescent="0.1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row>
    <row r="469" spans="1:31" x14ac:dyDescent="0.15">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row>
    <row r="470" spans="1:31" x14ac:dyDescent="0.15">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row>
    <row r="471" spans="1:31" x14ac:dyDescent="0.15">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row>
    <row r="472" spans="1:31" x14ac:dyDescent="0.15">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row>
    <row r="473" spans="1:31" x14ac:dyDescent="0.15">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row>
    <row r="474" spans="1:31" x14ac:dyDescent="0.15">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row>
    <row r="475" spans="1:31" x14ac:dyDescent="0.15">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row>
    <row r="476" spans="1:31" x14ac:dyDescent="0.15">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row>
    <row r="477" spans="1:31" x14ac:dyDescent="0.15">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row>
    <row r="478" spans="1:31" x14ac:dyDescent="0.15">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row>
    <row r="479" spans="1:31" x14ac:dyDescent="0.15">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row>
    <row r="480" spans="1:31" x14ac:dyDescent="0.15">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row>
    <row r="481" spans="1:31" x14ac:dyDescent="0.15">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row>
    <row r="482" spans="1:31" x14ac:dyDescent="0.15">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row>
    <row r="483" spans="1:31" x14ac:dyDescent="0.15">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row>
    <row r="484" spans="1:31" x14ac:dyDescent="0.15">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row>
    <row r="485" spans="1:31" x14ac:dyDescent="0.15">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row>
    <row r="486" spans="1:31" x14ac:dyDescent="0.15">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row>
    <row r="487" spans="1:31" x14ac:dyDescent="0.15">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row>
    <row r="488" spans="1:31" x14ac:dyDescent="0.15">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row>
    <row r="489" spans="1:31" x14ac:dyDescent="0.15">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row>
    <row r="490" spans="1:31" x14ac:dyDescent="0.15">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row>
    <row r="491" spans="1:31" x14ac:dyDescent="0.15">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row>
    <row r="492" spans="1:31" x14ac:dyDescent="0.15">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row>
    <row r="493" spans="1:31" x14ac:dyDescent="0.15">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row>
    <row r="494" spans="1:31" x14ac:dyDescent="0.15">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row>
    <row r="495" spans="1:31" x14ac:dyDescent="0.15">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row>
    <row r="496" spans="1:31" x14ac:dyDescent="0.15">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row>
    <row r="497" spans="1:31" x14ac:dyDescent="0.15">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row>
    <row r="498" spans="1:31" x14ac:dyDescent="0.15">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row>
    <row r="499" spans="1:31" x14ac:dyDescent="0.15">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row>
    <row r="500" spans="1:31" x14ac:dyDescent="0.15">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row>
    <row r="501" spans="1:31" x14ac:dyDescent="0.15">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row>
    <row r="502" spans="1:31" x14ac:dyDescent="0.15">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row>
    <row r="503" spans="1:31" x14ac:dyDescent="0.15">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row>
    <row r="504" spans="1:31" x14ac:dyDescent="0.15">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row>
    <row r="505" spans="1:31" x14ac:dyDescent="0.15">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row>
    <row r="506" spans="1:31" x14ac:dyDescent="0.15">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row>
    <row r="507" spans="1:31" x14ac:dyDescent="0.15">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row>
    <row r="508" spans="1:31" x14ac:dyDescent="0.15">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row>
    <row r="509" spans="1:31" x14ac:dyDescent="0.15">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row>
    <row r="510" spans="1:31" x14ac:dyDescent="0.15">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row>
    <row r="511" spans="1:31" x14ac:dyDescent="0.15">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row>
    <row r="512" spans="1:31" x14ac:dyDescent="0.15">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row>
    <row r="513" spans="1:31" x14ac:dyDescent="0.15">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row>
    <row r="514" spans="1:31" x14ac:dyDescent="0.15">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row>
    <row r="515" spans="1:31" x14ac:dyDescent="0.15">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row>
    <row r="516" spans="1:31" x14ac:dyDescent="0.15">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row>
    <row r="517" spans="1:31" x14ac:dyDescent="0.15">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row>
    <row r="518" spans="1:31" x14ac:dyDescent="0.15">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row>
    <row r="519" spans="1:31" x14ac:dyDescent="0.15">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row>
    <row r="520" spans="1:31" x14ac:dyDescent="0.15">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row>
    <row r="521" spans="1:31" x14ac:dyDescent="0.15">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row>
    <row r="522" spans="1:31" x14ac:dyDescent="0.15">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row>
    <row r="523" spans="1:31" x14ac:dyDescent="0.15">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row>
    <row r="524" spans="1:31" x14ac:dyDescent="0.15">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row>
    <row r="525" spans="1:31" x14ac:dyDescent="0.15">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row>
    <row r="526" spans="1:31" x14ac:dyDescent="0.15">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row>
    <row r="527" spans="1:31" x14ac:dyDescent="0.15">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row>
    <row r="528" spans="1:31" x14ac:dyDescent="0.15">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row>
    <row r="529" spans="1:31" x14ac:dyDescent="0.15">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c r="AE529" s="92"/>
    </row>
    <row r="530" spans="1:31" x14ac:dyDescent="0.15">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row>
  </sheetData>
  <sheetProtection algorithmName="SHA-512" hashValue="4rz5kW0coIvxtWy4Jcs7qTVCHDtCwyxFEZu2kUjWuw3Fao2KIJvcS3a3oT9dnFaw1xJLleFXgrLoFJWePdM0qA==" saltValue="/NiJDuEU0Us1jb4Hp7tsPQ==" spinCount="100000" sheet="1" selectLockedCells="1"/>
  <mergeCells count="335">
    <mergeCell ref="L228:O228"/>
    <mergeCell ref="J103:K103"/>
    <mergeCell ref="J92:K92"/>
    <mergeCell ref="J93:K93"/>
    <mergeCell ref="J96:K96"/>
    <mergeCell ref="J129:K129"/>
    <mergeCell ref="J130:K130"/>
    <mergeCell ref="J131:K131"/>
    <mergeCell ref="J132:K132"/>
    <mergeCell ref="L127:M127"/>
    <mergeCell ref="L128:M128"/>
    <mergeCell ref="L129:M129"/>
    <mergeCell ref="L130:M130"/>
    <mergeCell ref="L131:M131"/>
    <mergeCell ref="L132:M132"/>
    <mergeCell ref="L146:M146"/>
    <mergeCell ref="L145:M145"/>
    <mergeCell ref="L133:M133"/>
    <mergeCell ref="L134:M134"/>
    <mergeCell ref="L143:M143"/>
    <mergeCell ref="L144:M144"/>
    <mergeCell ref="L93:M93"/>
    <mergeCell ref="L96:M96"/>
    <mergeCell ref="L98:M98"/>
    <mergeCell ref="L97:M97"/>
    <mergeCell ref="C8:R9"/>
    <mergeCell ref="G18:I18"/>
    <mergeCell ref="G19:I19"/>
    <mergeCell ref="G20:I20"/>
    <mergeCell ref="G21:I21"/>
    <mergeCell ref="G17:I17"/>
    <mergeCell ref="L89:M89"/>
    <mergeCell ref="L88:M88"/>
    <mergeCell ref="L87:M87"/>
    <mergeCell ref="L86:M86"/>
    <mergeCell ref="D74:F74"/>
    <mergeCell ref="C49:S49"/>
    <mergeCell ref="D52:F52"/>
    <mergeCell ref="D27:H27"/>
    <mergeCell ref="D28:H28"/>
    <mergeCell ref="D29:H29"/>
    <mergeCell ref="C83:S83"/>
    <mergeCell ref="J72:K72"/>
    <mergeCell ref="J73:K73"/>
    <mergeCell ref="J74:K74"/>
    <mergeCell ref="C65:S67"/>
    <mergeCell ref="J57:K57"/>
    <mergeCell ref="L71:M71"/>
    <mergeCell ref="N70:O70"/>
    <mergeCell ref="L70:M70"/>
    <mergeCell ref="J70:K70"/>
    <mergeCell ref="J71:K71"/>
    <mergeCell ref="D71:F71"/>
    <mergeCell ref="D70:F70"/>
    <mergeCell ref="L72:M72"/>
    <mergeCell ref="P72:Q72"/>
    <mergeCell ref="P70:Q70"/>
    <mergeCell ref="N71:O71"/>
    <mergeCell ref="N72:O72"/>
    <mergeCell ref="P71:Q71"/>
    <mergeCell ref="P73:Q73"/>
    <mergeCell ref="P74:Q74"/>
    <mergeCell ref="P75:Q75"/>
    <mergeCell ref="D30:H30"/>
    <mergeCell ref="D31:H31"/>
    <mergeCell ref="D32:H32"/>
    <mergeCell ref="C14:Q14"/>
    <mergeCell ref="C33:J33"/>
    <mergeCell ref="K44:N45"/>
    <mergeCell ref="J56:K56"/>
    <mergeCell ref="J55:K55"/>
    <mergeCell ref="J54:K54"/>
    <mergeCell ref="C36:J36"/>
    <mergeCell ref="C35:J35"/>
    <mergeCell ref="C37:J37"/>
    <mergeCell ref="C38:J38"/>
    <mergeCell ref="C39:J39"/>
    <mergeCell ref="C41:J41"/>
    <mergeCell ref="C40:J40"/>
    <mergeCell ref="L52:M52"/>
    <mergeCell ref="L54:M54"/>
    <mergeCell ref="L55:M55"/>
    <mergeCell ref="L56:M56"/>
    <mergeCell ref="L57:M57"/>
    <mergeCell ref="D98:G98"/>
    <mergeCell ref="D99:G99"/>
    <mergeCell ref="D73:F73"/>
    <mergeCell ref="J87:K87"/>
    <mergeCell ref="J100:K100"/>
    <mergeCell ref="D86:G86"/>
    <mergeCell ref="L92:M92"/>
    <mergeCell ref="D72:F72"/>
    <mergeCell ref="D75:F75"/>
    <mergeCell ref="J75:K75"/>
    <mergeCell ref="D100:G100"/>
    <mergeCell ref="D76:F77"/>
    <mergeCell ref="J88:K88"/>
    <mergeCell ref="J89:K89"/>
    <mergeCell ref="D90:G90"/>
    <mergeCell ref="D91:G91"/>
    <mergeCell ref="D92:G92"/>
    <mergeCell ref="D87:G87"/>
    <mergeCell ref="D89:G89"/>
    <mergeCell ref="D93:G93"/>
    <mergeCell ref="D94:G94"/>
    <mergeCell ref="D95:G95"/>
    <mergeCell ref="D97:G97"/>
    <mergeCell ref="D96:G96"/>
    <mergeCell ref="P76:Q76"/>
    <mergeCell ref="P77:Q77"/>
    <mergeCell ref="C79:R80"/>
    <mergeCell ref="L77:M77"/>
    <mergeCell ref="N77:O77"/>
    <mergeCell ref="G76:K77"/>
    <mergeCell ref="N73:O73"/>
    <mergeCell ref="N143:O143"/>
    <mergeCell ref="J86:K86"/>
    <mergeCell ref="L73:M73"/>
    <mergeCell ref="L74:M74"/>
    <mergeCell ref="L75:M75"/>
    <mergeCell ref="L76:M76"/>
    <mergeCell ref="N76:O76"/>
    <mergeCell ref="N75:O75"/>
    <mergeCell ref="N74:O74"/>
    <mergeCell ref="L94:M94"/>
    <mergeCell ref="L95:M95"/>
    <mergeCell ref="L100:M100"/>
    <mergeCell ref="L101:M101"/>
    <mergeCell ref="L102:M102"/>
    <mergeCell ref="L103:M103"/>
    <mergeCell ref="L104:M104"/>
    <mergeCell ref="J101:K101"/>
    <mergeCell ref="J102:K102"/>
    <mergeCell ref="J98:K98"/>
    <mergeCell ref="J90:K90"/>
    <mergeCell ref="J99:K99"/>
    <mergeCell ref="J97:K97"/>
    <mergeCell ref="J94:K94"/>
    <mergeCell ref="J95:K95"/>
    <mergeCell ref="N147:O147"/>
    <mergeCell ref="N148:O148"/>
    <mergeCell ref="J146:K146"/>
    <mergeCell ref="J147:K147"/>
    <mergeCell ref="J108:K108"/>
    <mergeCell ref="J110:K110"/>
    <mergeCell ref="J109:K109"/>
    <mergeCell ref="J148:K148"/>
    <mergeCell ref="J134:K134"/>
    <mergeCell ref="L91:M91"/>
    <mergeCell ref="L90:M90"/>
    <mergeCell ref="L99:M99"/>
    <mergeCell ref="L111:M111"/>
    <mergeCell ref="L112:M112"/>
    <mergeCell ref="L108:M108"/>
    <mergeCell ref="L109:M109"/>
    <mergeCell ref="L110:M110"/>
    <mergeCell ref="J104:K104"/>
    <mergeCell ref="L106:M106"/>
    <mergeCell ref="L107:M107"/>
    <mergeCell ref="D132:F132"/>
    <mergeCell ref="D143:F143"/>
    <mergeCell ref="D133:F134"/>
    <mergeCell ref="C135:N136"/>
    <mergeCell ref="J145:K145"/>
    <mergeCell ref="J111:K111"/>
    <mergeCell ref="J112:K112"/>
    <mergeCell ref="J105:K105"/>
    <mergeCell ref="J107:K107"/>
    <mergeCell ref="J106:K106"/>
    <mergeCell ref="J127:K127"/>
    <mergeCell ref="J128:K128"/>
    <mergeCell ref="D127:F127"/>
    <mergeCell ref="D128:F128"/>
    <mergeCell ref="D129:F129"/>
    <mergeCell ref="D107:G107"/>
    <mergeCell ref="J133:K133"/>
    <mergeCell ref="I118:I119"/>
    <mergeCell ref="J143:K143"/>
    <mergeCell ref="J144:K144"/>
    <mergeCell ref="L105:M105"/>
    <mergeCell ref="D101:G101"/>
    <mergeCell ref="D103:G103"/>
    <mergeCell ref="D104:G104"/>
    <mergeCell ref="D165:F165"/>
    <mergeCell ref="D166:F166"/>
    <mergeCell ref="D147:F147"/>
    <mergeCell ref="D148:F148"/>
    <mergeCell ref="D144:F144"/>
    <mergeCell ref="D145:F145"/>
    <mergeCell ref="D146:F146"/>
    <mergeCell ref="D162:F162"/>
    <mergeCell ref="D105:G105"/>
    <mergeCell ref="D106:G106"/>
    <mergeCell ref="D111:G112"/>
    <mergeCell ref="D130:F130"/>
    <mergeCell ref="C118:H118"/>
    <mergeCell ref="C119:H119"/>
    <mergeCell ref="D102:G102"/>
    <mergeCell ref="D109:G109"/>
    <mergeCell ref="D110:G110"/>
    <mergeCell ref="D108:G108"/>
    <mergeCell ref="D131:F131"/>
    <mergeCell ref="D163:F163"/>
    <mergeCell ref="D164:F164"/>
    <mergeCell ref="C170:P171"/>
    <mergeCell ref="L169:M169"/>
    <mergeCell ref="N169:O169"/>
    <mergeCell ref="D168:F169"/>
    <mergeCell ref="L178:M178"/>
    <mergeCell ref="L177:M177"/>
    <mergeCell ref="H179:I179"/>
    <mergeCell ref="H167:I167"/>
    <mergeCell ref="J169:K169"/>
    <mergeCell ref="L179:M179"/>
    <mergeCell ref="N178:O178"/>
    <mergeCell ref="N177:O177"/>
    <mergeCell ref="D88:G88"/>
    <mergeCell ref="J91:K91"/>
    <mergeCell ref="L227:O227"/>
    <mergeCell ref="L226:O226"/>
    <mergeCell ref="L224:O224"/>
    <mergeCell ref="L225:O225"/>
    <mergeCell ref="J162:K162"/>
    <mergeCell ref="J163:K163"/>
    <mergeCell ref="J164:K164"/>
    <mergeCell ref="J165:K165"/>
    <mergeCell ref="J166:K166"/>
    <mergeCell ref="J167:K167"/>
    <mergeCell ref="L218:O218"/>
    <mergeCell ref="L217:O217"/>
    <mergeCell ref="L221:O221"/>
    <mergeCell ref="L222:O222"/>
    <mergeCell ref="L163:M163"/>
    <mergeCell ref="L164:M164"/>
    <mergeCell ref="L165:M165"/>
    <mergeCell ref="L166:M166"/>
    <mergeCell ref="L167:M167"/>
    <mergeCell ref="J177:K177"/>
    <mergeCell ref="J178:K178"/>
    <mergeCell ref="J168:K168"/>
    <mergeCell ref="L58:M58"/>
    <mergeCell ref="L53:M53"/>
    <mergeCell ref="C61:N62"/>
    <mergeCell ref="J59:K59"/>
    <mergeCell ref="L59:M59"/>
    <mergeCell ref="D58:F59"/>
    <mergeCell ref="J52:K52"/>
    <mergeCell ref="J58:K58"/>
    <mergeCell ref="J53:K53"/>
    <mergeCell ref="D53:F53"/>
    <mergeCell ref="D54:F54"/>
    <mergeCell ref="D55:F55"/>
    <mergeCell ref="D56:F56"/>
    <mergeCell ref="D57:F57"/>
    <mergeCell ref="L147:M147"/>
    <mergeCell ref="L148:M148"/>
    <mergeCell ref="L149:M149"/>
    <mergeCell ref="L150:M150"/>
    <mergeCell ref="C235:N238"/>
    <mergeCell ref="M190:M191"/>
    <mergeCell ref="M207:M208"/>
    <mergeCell ref="C185:P186"/>
    <mergeCell ref="L180:M180"/>
    <mergeCell ref="L181:M181"/>
    <mergeCell ref="L182:M182"/>
    <mergeCell ref="L183:M183"/>
    <mergeCell ref="L223:O223"/>
    <mergeCell ref="D180:F180"/>
    <mergeCell ref="D181:F181"/>
    <mergeCell ref="D182:F182"/>
    <mergeCell ref="L220:O220"/>
    <mergeCell ref="J183:K183"/>
    <mergeCell ref="J184:K184"/>
    <mergeCell ref="D183:F184"/>
    <mergeCell ref="G183:I184"/>
    <mergeCell ref="L219:O219"/>
    <mergeCell ref="J179:K179"/>
    <mergeCell ref="C174:S174"/>
    <mergeCell ref="P150:Q150"/>
    <mergeCell ref="O190:O191"/>
    <mergeCell ref="O207:O208"/>
    <mergeCell ref="N149:O149"/>
    <mergeCell ref="H163:I163"/>
    <mergeCell ref="H164:I164"/>
    <mergeCell ref="H165:I165"/>
    <mergeCell ref="H166:I166"/>
    <mergeCell ref="W131:X138"/>
    <mergeCell ref="P143:Q143"/>
    <mergeCell ref="P144:Q144"/>
    <mergeCell ref="P145:Q145"/>
    <mergeCell ref="P146:Q146"/>
    <mergeCell ref="P147:Q147"/>
    <mergeCell ref="P148:Q148"/>
    <mergeCell ref="N146:O146"/>
    <mergeCell ref="N162:O162"/>
    <mergeCell ref="N144:O144"/>
    <mergeCell ref="N145:O145"/>
    <mergeCell ref="P149:Q149"/>
    <mergeCell ref="H162:I162"/>
    <mergeCell ref="C151:R152"/>
    <mergeCell ref="D149:F150"/>
    <mergeCell ref="G149:K150"/>
    <mergeCell ref="N150:O150"/>
    <mergeCell ref="N164:O164"/>
    <mergeCell ref="N163:O163"/>
    <mergeCell ref="N168:O168"/>
    <mergeCell ref="N167:O167"/>
    <mergeCell ref="N166:O166"/>
    <mergeCell ref="N165:O165"/>
    <mergeCell ref="K190:K191"/>
    <mergeCell ref="C207:I209"/>
    <mergeCell ref="K207:K208"/>
    <mergeCell ref="H180:I180"/>
    <mergeCell ref="H181:I181"/>
    <mergeCell ref="H182:I182"/>
    <mergeCell ref="J180:K180"/>
    <mergeCell ref="J181:K181"/>
    <mergeCell ref="J182:K182"/>
    <mergeCell ref="L162:M162"/>
    <mergeCell ref="L168:M168"/>
    <mergeCell ref="D178:F178"/>
    <mergeCell ref="D179:F179"/>
    <mergeCell ref="D167:F167"/>
    <mergeCell ref="D177:F177"/>
    <mergeCell ref="H177:I177"/>
    <mergeCell ref="H178:I178"/>
    <mergeCell ref="Q207:Q208"/>
    <mergeCell ref="N183:O183"/>
    <mergeCell ref="N182:O182"/>
    <mergeCell ref="N181:O181"/>
    <mergeCell ref="N180:O180"/>
    <mergeCell ref="N179:O179"/>
    <mergeCell ref="Q190:Q191"/>
    <mergeCell ref="L184:M184"/>
    <mergeCell ref="N184:O184"/>
  </mergeCells>
  <conditionalFormatting sqref="J32 I25">
    <cfRule type="cellIs" dxfId="50" priority="226" operator="equal">
      <formula>"fejl"</formula>
    </cfRule>
    <cfRule type="cellIs" dxfId="49" priority="227" operator="equal">
      <formula>"ok"</formula>
    </cfRule>
  </conditionalFormatting>
  <conditionalFormatting sqref="C33">
    <cfRule type="expression" dxfId="48" priority="79">
      <formula>$C$33=""</formula>
    </cfRule>
  </conditionalFormatting>
  <conditionalFormatting sqref="C61">
    <cfRule type="expression" dxfId="47" priority="78">
      <formula>$C$61=""</formula>
    </cfRule>
  </conditionalFormatting>
  <conditionalFormatting sqref="C79">
    <cfRule type="expression" dxfId="46" priority="77">
      <formula>$C$79=""</formula>
    </cfRule>
  </conditionalFormatting>
  <conditionalFormatting sqref="C185">
    <cfRule type="expression" dxfId="45" priority="76">
      <formula>$C$185=""</formula>
    </cfRule>
  </conditionalFormatting>
  <conditionalFormatting sqref="C135">
    <cfRule type="expression" dxfId="44" priority="75">
      <formula>$C$135=""</formula>
    </cfRule>
  </conditionalFormatting>
  <conditionalFormatting sqref="C170">
    <cfRule type="expression" dxfId="43" priority="73">
      <formula>""=$C$170</formula>
    </cfRule>
  </conditionalFormatting>
  <conditionalFormatting sqref="J53:J57 L53:L57">
    <cfRule type="expression" dxfId="42" priority="70">
      <formula>#REF!=""</formula>
    </cfRule>
  </conditionalFormatting>
  <conditionalFormatting sqref="L54">
    <cfRule type="expression" dxfId="41" priority="69">
      <formula>#REF!=""</formula>
    </cfRule>
  </conditionalFormatting>
  <conditionalFormatting sqref="L55">
    <cfRule type="expression" dxfId="40" priority="68">
      <formula>#REF!=""</formula>
    </cfRule>
  </conditionalFormatting>
  <conditionalFormatting sqref="L56 P144">
    <cfRule type="expression" dxfId="39" priority="67">
      <formula>#REF!=""</formula>
    </cfRule>
  </conditionalFormatting>
  <conditionalFormatting sqref="L57">
    <cfRule type="expression" dxfId="38" priority="66">
      <formula>#REF!=""</formula>
    </cfRule>
  </conditionalFormatting>
  <conditionalFormatting sqref="L71:L75 N71:N75 R71:S71 P71:P75">
    <cfRule type="expression" dxfId="37" priority="65">
      <formula>#REF!=""</formula>
    </cfRule>
  </conditionalFormatting>
  <conditionalFormatting sqref="R72:S72">
    <cfRule type="expression" dxfId="36" priority="64">
      <formula>#REF!=""</formula>
    </cfRule>
  </conditionalFormatting>
  <conditionalFormatting sqref="R73:S73">
    <cfRule type="expression" dxfId="35" priority="63">
      <formula>#REF!=""</formula>
    </cfRule>
  </conditionalFormatting>
  <conditionalFormatting sqref="R74:S74">
    <cfRule type="expression" dxfId="34" priority="62">
      <formula>#REF!=""</formula>
    </cfRule>
  </conditionalFormatting>
  <conditionalFormatting sqref="R75:S75">
    <cfRule type="expression" dxfId="33" priority="61">
      <formula>#REF!=""</formula>
    </cfRule>
  </conditionalFormatting>
  <conditionalFormatting sqref="N178:N182">
    <cfRule type="expression" dxfId="32" priority="60">
      <formula>#REF!=""</formula>
    </cfRule>
  </conditionalFormatting>
  <conditionalFormatting sqref="J128:J132 L128:L132">
    <cfRule type="expression" dxfId="31" priority="55">
      <formula>#REF!=""</formula>
    </cfRule>
  </conditionalFormatting>
  <conditionalFormatting sqref="J133 L133">
    <cfRule type="expression" dxfId="30" priority="51">
      <formula>#REF!=""</formula>
    </cfRule>
  </conditionalFormatting>
  <conditionalFormatting sqref="N144:N148 L144:L148">
    <cfRule type="expression" dxfId="29" priority="50">
      <formula>#REF!=""</formula>
    </cfRule>
  </conditionalFormatting>
  <conditionalFormatting sqref="N163:N167 L163:L167">
    <cfRule type="expression" dxfId="28" priority="45">
      <formula>#REF!=""</formula>
    </cfRule>
  </conditionalFormatting>
  <conditionalFormatting sqref="G70:G75">
    <cfRule type="cellIs" dxfId="27" priority="36" operator="greaterThan">
      <formula>0</formula>
    </cfRule>
  </conditionalFormatting>
  <conditionalFormatting sqref="G143">
    <cfRule type="cellIs" dxfId="26" priority="35" operator="equal">
      <formula>0</formula>
    </cfRule>
  </conditionalFormatting>
  <conditionalFormatting sqref="J53:J58 L60:M60 L53:L57 L71:L76 N71:N76 J128:J134 L128:L134 N144:N149 L183 N163:N169 L163:L169 N178:N183 R71:S76 O193:O207 M193:M207 P71:P76 L144:L149 P144">
    <cfRule type="cellIs" dxfId="25" priority="31" operator="lessThan">
      <formula>0</formula>
    </cfRule>
  </conditionalFormatting>
  <conditionalFormatting sqref="L87:L111">
    <cfRule type="cellIs" dxfId="24" priority="28" operator="lessThan">
      <formula>0</formula>
    </cfRule>
    <cfRule type="cellIs" dxfId="23" priority="34" operator="greaterThan">
      <formula>0</formula>
    </cfRule>
  </conditionalFormatting>
  <conditionalFormatting sqref="E218:E228">
    <cfRule type="cellIs" dxfId="22" priority="32" operator="lessThan">
      <formula>0</formula>
    </cfRule>
    <cfRule type="cellIs" dxfId="21" priority="33" operator="greaterThan">
      <formula>0</formula>
    </cfRule>
  </conditionalFormatting>
  <conditionalFormatting sqref="L218:L228">
    <cfRule type="cellIs" dxfId="20" priority="22" operator="lessThan">
      <formula>0</formula>
    </cfRule>
    <cfRule type="cellIs" dxfId="19" priority="23" operator="greaterThan">
      <formula>0</formula>
    </cfRule>
  </conditionalFormatting>
  <conditionalFormatting sqref="G144:G148">
    <cfRule type="cellIs" dxfId="18" priority="19" operator="greaterThan">
      <formula>0</formula>
    </cfRule>
  </conditionalFormatting>
  <conditionalFormatting sqref="C151">
    <cfRule type="expression" dxfId="17" priority="258">
      <formula>$C$151=""</formula>
    </cfRule>
  </conditionalFormatting>
  <conditionalFormatting sqref="L178:L182">
    <cfRule type="cellIs" dxfId="16" priority="15" operator="lessThan">
      <formula>0</formula>
    </cfRule>
  </conditionalFormatting>
  <conditionalFormatting sqref="L178:L182">
    <cfRule type="expression" dxfId="15" priority="16">
      <formula>#REF!=""</formula>
    </cfRule>
  </conditionalFormatting>
  <conditionalFormatting sqref="N184 L184">
    <cfRule type="cellIs" dxfId="14" priority="14" operator="lessThan">
      <formula>0</formula>
    </cfRule>
  </conditionalFormatting>
  <conditionalFormatting sqref="M209">
    <cfRule type="cellIs" dxfId="13" priority="13" operator="lessThan">
      <formula>0</formula>
    </cfRule>
  </conditionalFormatting>
  <conditionalFormatting sqref="O209">
    <cfRule type="cellIs" dxfId="12" priority="12" operator="lessThan">
      <formula>0</formula>
    </cfRule>
  </conditionalFormatting>
  <conditionalFormatting sqref="P145">
    <cfRule type="expression" dxfId="11" priority="9">
      <formula>#REF!=""</formula>
    </cfRule>
  </conditionalFormatting>
  <conditionalFormatting sqref="P145">
    <cfRule type="cellIs" dxfId="10" priority="8" operator="lessThan">
      <formula>0</formula>
    </cfRule>
  </conditionalFormatting>
  <conditionalFormatting sqref="P146 P148">
    <cfRule type="expression" dxfId="9" priority="7">
      <formula>#REF!=""</formula>
    </cfRule>
  </conditionalFormatting>
  <conditionalFormatting sqref="P146 P148">
    <cfRule type="cellIs" dxfId="8" priority="6" operator="lessThan">
      <formula>0</formula>
    </cfRule>
  </conditionalFormatting>
  <conditionalFormatting sqref="P147 P149">
    <cfRule type="expression" dxfId="7" priority="5">
      <formula>#REF!=""</formula>
    </cfRule>
  </conditionalFormatting>
  <conditionalFormatting sqref="P147 P149">
    <cfRule type="cellIs" dxfId="6" priority="4" operator="lessThan">
      <formula>0</formula>
    </cfRule>
  </conditionalFormatting>
  <conditionalFormatting sqref="Q207">
    <cfRule type="cellIs" dxfId="5" priority="3" operator="lessThan">
      <formula>0</formula>
    </cfRule>
  </conditionalFormatting>
  <conditionalFormatting sqref="K209">
    <cfRule type="cellIs" dxfId="4" priority="2" operator="lessThan">
      <formula>0</formula>
    </cfRule>
  </conditionalFormatting>
  <conditionalFormatting sqref="K207">
    <cfRule type="cellIs" dxfId="3" priority="1" operator="lessThan">
      <formula>0</formula>
    </cfRule>
  </conditionalFormatting>
  <dataValidations count="7">
    <dataValidation type="list" allowBlank="1" showInputMessage="1" showErrorMessage="1" sqref="D178:D182 D53:D57 D128:D132 D163:D167 D60" xr:uid="{00000000-0002-0000-0200-000000000000}">
      <formula1>dropdown_materialer</formula1>
    </dataValidation>
    <dataValidation type="list" allowBlank="1" showInputMessage="1" showErrorMessage="1" sqref="D71:D75 D144:D148" xr:uid="{00000000-0002-0000-0200-000001000000}">
      <formula1>dropdown_energi</formula1>
    </dataValidation>
    <dataValidation type="list" allowBlank="1" showInputMessage="1" showErrorMessage="1" sqref="C119" xr:uid="{00000000-0002-0000-0200-000002000000}">
      <formula1>dropdown_beregning</formula1>
    </dataValidation>
    <dataValidation type="list" allowBlank="1" showInputMessage="1" showErrorMessage="1" sqref="H178:H182 H163:H167" xr:uid="{00000000-0002-0000-0200-000003000000}">
      <formula1>dropdown_aendring_bortskaffelse</formula1>
    </dataValidation>
    <dataValidation type="list" allowBlank="1" showInputMessage="1" showErrorMessage="1" sqref="D27:D31" xr:uid="{00000000-0002-0000-0200-000004000000}">
      <formula1>dropdown_land</formula1>
    </dataValidation>
    <dataValidation type="list" allowBlank="1" showInputMessage="1" showErrorMessage="1" sqref="Q235" xr:uid="{00000000-0002-0000-0200-000005000000}">
      <formula1>dropdown_medregn</formula1>
    </dataValidation>
    <dataValidation type="list" allowBlank="1" showInputMessage="1" showErrorMessage="1" sqref="G18:I18" xr:uid="{00000000-0002-0000-0200-000006000000}">
      <formula1>$D$388:$D$396</formula1>
    </dataValidation>
  </dataValidations>
  <pageMargins left="0.7" right="0.7" top="0.75" bottom="0.75" header="0.3" footer="0.3"/>
  <pageSetup paperSize="8" scale="35" orientation="portrait"/>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CA252"/>
  <sheetViews>
    <sheetView topLeftCell="A21" workbookViewId="0">
      <selection activeCell="D27" sqref="D27:F27"/>
    </sheetView>
  </sheetViews>
  <sheetFormatPr defaultColWidth="8.75" defaultRowHeight="10.5" x14ac:dyDescent="0.15"/>
  <cols>
    <col min="1" max="1" width="1.75" style="19" customWidth="1"/>
    <col min="2" max="2" width="3.125" style="19" customWidth="1"/>
    <col min="3" max="3" width="1.75" style="19" customWidth="1"/>
    <col min="4" max="6" width="8.75" style="19"/>
    <col min="7" max="7" width="3.125" style="19" customWidth="1"/>
    <col min="8" max="17" width="11.75" style="19" customWidth="1"/>
    <col min="18" max="18" width="1.75" style="19" customWidth="1"/>
    <col min="19" max="19" width="3.125" style="19" customWidth="1"/>
    <col min="20" max="20" width="1.75" style="19" customWidth="1"/>
    <col min="21" max="16384" width="8.75" style="19"/>
  </cols>
  <sheetData>
    <row r="1" spans="1:79" x14ac:dyDescent="0.15">
      <c r="A1" s="159"/>
      <c r="B1" s="159"/>
      <c r="C1" s="159"/>
      <c r="D1" s="159"/>
      <c r="E1" s="159"/>
      <c r="F1" s="159"/>
      <c r="G1" s="159"/>
      <c r="H1" s="159"/>
      <c r="I1" s="159"/>
      <c r="J1" s="159"/>
      <c r="K1" s="159"/>
      <c r="L1" s="159"/>
      <c r="M1" s="159"/>
      <c r="N1" s="159"/>
      <c r="O1" s="159"/>
      <c r="P1" s="159"/>
      <c r="Q1" s="159"/>
      <c r="R1" s="159"/>
      <c r="S1" s="159"/>
      <c r="T1" s="159"/>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row>
    <row r="2" spans="1:79" x14ac:dyDescent="0.15">
      <c r="A2" s="159"/>
      <c r="B2" s="61"/>
      <c r="C2" s="61"/>
      <c r="D2" s="61"/>
      <c r="E2" s="61"/>
      <c r="F2" s="61"/>
      <c r="G2" s="61"/>
      <c r="H2" s="61"/>
      <c r="I2" s="61"/>
      <c r="J2" s="61"/>
      <c r="K2" s="61"/>
      <c r="L2" s="61"/>
      <c r="M2" s="61"/>
      <c r="N2" s="61"/>
      <c r="O2" s="61"/>
      <c r="P2" s="61"/>
      <c r="Q2" s="61"/>
      <c r="R2" s="61"/>
      <c r="S2" s="61"/>
      <c r="T2" s="159"/>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row>
    <row r="3" spans="1:79" ht="14.25" x14ac:dyDescent="0.2">
      <c r="A3" s="159"/>
      <c r="B3" s="61"/>
      <c r="C3" s="9" t="s">
        <v>200</v>
      </c>
      <c r="D3" s="61"/>
      <c r="E3" s="61"/>
      <c r="F3" s="61"/>
      <c r="G3" s="61"/>
      <c r="H3" s="61"/>
      <c r="I3" s="61"/>
      <c r="J3" s="61"/>
      <c r="K3" s="61"/>
      <c r="L3" s="61"/>
      <c r="M3" s="61"/>
      <c r="N3" s="61"/>
      <c r="O3" s="61"/>
      <c r="P3" s="61"/>
      <c r="Q3" s="61"/>
      <c r="R3" s="61"/>
      <c r="S3" s="61"/>
      <c r="T3" s="159"/>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row>
    <row r="4" spans="1:79" x14ac:dyDescent="0.15">
      <c r="A4" s="159"/>
      <c r="B4" s="61"/>
      <c r="C4" s="61"/>
      <c r="D4" s="61"/>
      <c r="E4" s="61"/>
      <c r="F4" s="61"/>
      <c r="G4" s="61"/>
      <c r="H4" s="61"/>
      <c r="I4" s="61"/>
      <c r="J4" s="61"/>
      <c r="K4" s="61"/>
      <c r="L4" s="61"/>
      <c r="M4" s="61"/>
      <c r="N4" s="61"/>
      <c r="O4" s="61"/>
      <c r="P4" s="61"/>
      <c r="Q4" s="61"/>
      <c r="R4" s="61"/>
      <c r="S4" s="61"/>
      <c r="T4" s="159"/>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row>
    <row r="5" spans="1:79" ht="11.25" x14ac:dyDescent="0.15">
      <c r="A5" s="159"/>
      <c r="B5" s="61"/>
      <c r="C5" s="91" t="s">
        <v>201</v>
      </c>
      <c r="D5" s="61"/>
      <c r="E5" s="61"/>
      <c r="F5" s="61"/>
      <c r="G5" s="61"/>
      <c r="H5" s="61"/>
      <c r="I5" s="61"/>
      <c r="J5" s="61"/>
      <c r="K5" s="61"/>
      <c r="L5" s="61"/>
      <c r="M5" s="61"/>
      <c r="N5" s="61"/>
      <c r="O5" s="61"/>
      <c r="P5" s="61"/>
      <c r="Q5" s="61"/>
      <c r="R5" s="61"/>
      <c r="S5" s="61"/>
      <c r="T5" s="159"/>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row>
    <row r="6" spans="1:79" ht="11.25" x14ac:dyDescent="0.15">
      <c r="A6" s="159"/>
      <c r="B6" s="61"/>
      <c r="C6" s="91" t="s">
        <v>202</v>
      </c>
      <c r="D6" s="61"/>
      <c r="E6" s="61"/>
      <c r="F6" s="61"/>
      <c r="G6" s="61"/>
      <c r="H6" s="61"/>
      <c r="I6" s="61"/>
      <c r="J6" s="61"/>
      <c r="K6" s="61"/>
      <c r="L6" s="61"/>
      <c r="M6" s="61"/>
      <c r="N6" s="61"/>
      <c r="O6" s="61"/>
      <c r="P6" s="61"/>
      <c r="Q6" s="61"/>
      <c r="R6" s="61"/>
      <c r="S6" s="61"/>
      <c r="T6" s="159"/>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row>
    <row r="7" spans="1:79" ht="11.25" x14ac:dyDescent="0.15">
      <c r="A7" s="159"/>
      <c r="B7" s="61"/>
      <c r="C7" s="91" t="s">
        <v>203</v>
      </c>
      <c r="D7" s="61"/>
      <c r="E7" s="61"/>
      <c r="F7" s="61"/>
      <c r="G7" s="61"/>
      <c r="H7" s="61"/>
      <c r="I7" s="61"/>
      <c r="J7" s="61"/>
      <c r="K7" s="61"/>
      <c r="L7" s="61"/>
      <c r="M7" s="61"/>
      <c r="N7" s="61"/>
      <c r="O7" s="61"/>
      <c r="P7" s="61"/>
      <c r="Q7" s="61"/>
      <c r="R7" s="61"/>
      <c r="S7" s="61"/>
      <c r="T7" s="159"/>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row>
    <row r="8" spans="1:79" ht="11.25" x14ac:dyDescent="0.15">
      <c r="A8" s="159"/>
      <c r="B8" s="61"/>
      <c r="C8" s="91" t="s">
        <v>204</v>
      </c>
      <c r="D8" s="61"/>
      <c r="E8" s="61"/>
      <c r="F8" s="61"/>
      <c r="G8" s="61"/>
      <c r="H8" s="61"/>
      <c r="I8" s="61"/>
      <c r="J8" s="61"/>
      <c r="K8" s="61"/>
      <c r="L8" s="61"/>
      <c r="M8" s="61"/>
      <c r="N8" s="61"/>
      <c r="O8" s="61"/>
      <c r="P8" s="61"/>
      <c r="Q8" s="61"/>
      <c r="R8" s="61"/>
      <c r="S8" s="61"/>
      <c r="T8" s="159"/>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row>
    <row r="9" spans="1:79" x14ac:dyDescent="0.15">
      <c r="A9" s="159"/>
      <c r="B9" s="61"/>
      <c r="C9" s="61"/>
      <c r="D9" s="61"/>
      <c r="E9" s="61"/>
      <c r="F9" s="61"/>
      <c r="G9" s="61"/>
      <c r="H9" s="61"/>
      <c r="I9" s="61"/>
      <c r="J9" s="61"/>
      <c r="K9" s="61"/>
      <c r="L9" s="61"/>
      <c r="M9" s="61"/>
      <c r="N9" s="61"/>
      <c r="O9" s="61"/>
      <c r="P9" s="61"/>
      <c r="Q9" s="61"/>
      <c r="R9" s="61"/>
      <c r="S9" s="61"/>
      <c r="T9" s="159"/>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row>
    <row r="10" spans="1:79" ht="5.0999999999999996" customHeight="1" x14ac:dyDescent="0.15">
      <c r="A10" s="159"/>
      <c r="B10" s="61"/>
      <c r="C10" s="151"/>
      <c r="D10" s="152"/>
      <c r="E10" s="152"/>
      <c r="F10" s="152"/>
      <c r="G10" s="152"/>
      <c r="H10" s="152"/>
      <c r="I10" s="152"/>
      <c r="J10" s="152"/>
      <c r="K10" s="152"/>
      <c r="L10" s="152"/>
      <c r="M10" s="152"/>
      <c r="N10" s="152"/>
      <c r="O10" s="152"/>
      <c r="P10" s="152"/>
      <c r="Q10" s="152"/>
      <c r="R10" s="153"/>
      <c r="S10" s="61"/>
      <c r="T10" s="159"/>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row>
    <row r="11" spans="1:79" x14ac:dyDescent="0.15">
      <c r="A11" s="159"/>
      <c r="B11" s="61"/>
      <c r="C11" s="154"/>
      <c r="D11" s="147" t="s">
        <v>205</v>
      </c>
      <c r="E11" s="147"/>
      <c r="F11" s="147"/>
      <c r="G11" s="147"/>
      <c r="H11" s="892" t="s">
        <v>206</v>
      </c>
      <c r="I11" s="893"/>
      <c r="J11" s="893"/>
      <c r="K11" s="893"/>
      <c r="L11" s="893"/>
      <c r="M11" s="892" t="s">
        <v>207</v>
      </c>
      <c r="N11" s="893"/>
      <c r="O11" s="893"/>
      <c r="P11" s="893"/>
      <c r="Q11" s="894"/>
      <c r="R11" s="155"/>
      <c r="S11" s="61"/>
      <c r="T11" s="159"/>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row>
    <row r="12" spans="1:79" ht="11.25" x14ac:dyDescent="0.15">
      <c r="A12" s="159"/>
      <c r="B12" s="61"/>
      <c r="C12" s="154"/>
      <c r="D12" s="898" t="s">
        <v>603</v>
      </c>
      <c r="E12" s="899"/>
      <c r="F12" s="900"/>
      <c r="G12" s="147"/>
      <c r="H12" s="160" t="s">
        <v>208</v>
      </c>
      <c r="I12" s="161" t="s">
        <v>209</v>
      </c>
      <c r="J12" s="161" t="s">
        <v>210</v>
      </c>
      <c r="K12" s="161" t="s">
        <v>211</v>
      </c>
      <c r="L12" s="161" t="s">
        <v>212</v>
      </c>
      <c r="M12" s="160" t="s">
        <v>208</v>
      </c>
      <c r="N12" s="161" t="s">
        <v>209</v>
      </c>
      <c r="O12" s="161" t="s">
        <v>210</v>
      </c>
      <c r="P12" s="161" t="s">
        <v>211</v>
      </c>
      <c r="Q12" s="162" t="s">
        <v>212</v>
      </c>
      <c r="R12" s="155"/>
      <c r="S12" s="61"/>
      <c r="T12" s="159"/>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row>
    <row r="13" spans="1:79" x14ac:dyDescent="0.15">
      <c r="A13" s="159"/>
      <c r="B13" s="61"/>
      <c r="C13" s="154"/>
      <c r="D13" s="147"/>
      <c r="E13" s="147"/>
      <c r="F13" s="147"/>
      <c r="G13" s="147"/>
      <c r="H13" s="160" t="s">
        <v>213</v>
      </c>
      <c r="I13" s="161" t="s">
        <v>213</v>
      </c>
      <c r="J13" s="161" t="s">
        <v>213</v>
      </c>
      <c r="K13" s="161" t="s">
        <v>213</v>
      </c>
      <c r="L13" s="161" t="s">
        <v>213</v>
      </c>
      <c r="M13" s="163" t="s">
        <v>214</v>
      </c>
      <c r="N13" s="164" t="s">
        <v>214</v>
      </c>
      <c r="O13" s="164" t="s">
        <v>214</v>
      </c>
      <c r="P13" s="164" t="s">
        <v>214</v>
      </c>
      <c r="Q13" s="165" t="s">
        <v>214</v>
      </c>
      <c r="R13" s="155"/>
      <c r="S13" s="61"/>
      <c r="T13" s="159"/>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row>
    <row r="14" spans="1:79" x14ac:dyDescent="0.15">
      <c r="A14" s="159"/>
      <c r="B14" s="61"/>
      <c r="C14" s="154"/>
      <c r="D14" s="147"/>
      <c r="E14" s="147"/>
      <c r="F14" s="147"/>
      <c r="G14" s="147"/>
      <c r="H14" s="593">
        <v>0</v>
      </c>
      <c r="I14" s="593">
        <v>0</v>
      </c>
      <c r="J14" s="593">
        <v>0</v>
      </c>
      <c r="K14" s="593">
        <v>0</v>
      </c>
      <c r="L14" s="593">
        <v>0</v>
      </c>
      <c r="M14" s="593">
        <v>0</v>
      </c>
      <c r="N14" s="593">
        <v>0</v>
      </c>
      <c r="O14" s="593">
        <v>0</v>
      </c>
      <c r="P14" s="593">
        <v>0</v>
      </c>
      <c r="Q14" s="593">
        <v>0</v>
      </c>
      <c r="R14" s="155"/>
      <c r="S14" s="61"/>
      <c r="T14" s="159"/>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row>
    <row r="15" spans="1:79" x14ac:dyDescent="0.15">
      <c r="A15" s="159"/>
      <c r="B15" s="61"/>
      <c r="C15" s="154"/>
      <c r="D15" s="147"/>
      <c r="E15" s="147"/>
      <c r="F15" s="147"/>
      <c r="G15" s="147"/>
      <c r="H15" s="147"/>
      <c r="I15" s="147"/>
      <c r="J15" s="147"/>
      <c r="K15" s="147"/>
      <c r="L15" s="147"/>
      <c r="M15" s="147"/>
      <c r="N15" s="147"/>
      <c r="O15" s="147"/>
      <c r="P15" s="147"/>
      <c r="Q15" s="147"/>
      <c r="R15" s="155"/>
      <c r="S15" s="61"/>
      <c r="T15" s="159"/>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row>
    <row r="16" spans="1:79" x14ac:dyDescent="0.15">
      <c r="A16" s="159"/>
      <c r="B16" s="61"/>
      <c r="C16" s="154"/>
      <c r="D16" s="147"/>
      <c r="E16" s="147"/>
      <c r="F16" s="147"/>
      <c r="G16" s="147"/>
      <c r="H16" s="892" t="s">
        <v>215</v>
      </c>
      <c r="I16" s="893"/>
      <c r="J16" s="893"/>
      <c r="K16" s="893"/>
      <c r="L16" s="893"/>
      <c r="M16" s="892" t="s">
        <v>216</v>
      </c>
      <c r="N16" s="893"/>
      <c r="O16" s="893"/>
      <c r="P16" s="893"/>
      <c r="Q16" s="894"/>
      <c r="R16" s="155"/>
      <c r="S16" s="61"/>
      <c r="T16" s="159"/>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row>
    <row r="17" spans="1:79" x14ac:dyDescent="0.15">
      <c r="A17" s="159"/>
      <c r="B17" s="61"/>
      <c r="C17" s="154"/>
      <c r="D17" s="147"/>
      <c r="E17" s="147"/>
      <c r="F17" s="147"/>
      <c r="G17" s="147"/>
      <c r="H17" s="160" t="s">
        <v>208</v>
      </c>
      <c r="I17" s="161" t="s">
        <v>209</v>
      </c>
      <c r="J17" s="161" t="s">
        <v>210</v>
      </c>
      <c r="K17" s="161" t="s">
        <v>211</v>
      </c>
      <c r="L17" s="161" t="s">
        <v>212</v>
      </c>
      <c r="M17" s="160" t="s">
        <v>208</v>
      </c>
      <c r="N17" s="161" t="s">
        <v>209</v>
      </c>
      <c r="O17" s="161" t="s">
        <v>210</v>
      </c>
      <c r="P17" s="161" t="s">
        <v>211</v>
      </c>
      <c r="Q17" s="162" t="s">
        <v>212</v>
      </c>
      <c r="R17" s="155"/>
      <c r="S17" s="61"/>
      <c r="T17" s="159"/>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row>
    <row r="18" spans="1:79" x14ac:dyDescent="0.15">
      <c r="A18" s="159"/>
      <c r="B18" s="61"/>
      <c r="C18" s="154"/>
      <c r="D18" s="147"/>
      <c r="E18" s="147"/>
      <c r="F18" s="147"/>
      <c r="G18" s="147"/>
      <c r="H18" s="160" t="s">
        <v>213</v>
      </c>
      <c r="I18" s="161" t="s">
        <v>213</v>
      </c>
      <c r="J18" s="161" t="s">
        <v>213</v>
      </c>
      <c r="K18" s="161" t="s">
        <v>213</v>
      </c>
      <c r="L18" s="161" t="s">
        <v>213</v>
      </c>
      <c r="M18" s="160" t="s">
        <v>213</v>
      </c>
      <c r="N18" s="161" t="s">
        <v>213</v>
      </c>
      <c r="O18" s="164" t="s">
        <v>214</v>
      </c>
      <c r="P18" s="164" t="s">
        <v>214</v>
      </c>
      <c r="Q18" s="165" t="s">
        <v>214</v>
      </c>
      <c r="R18" s="155"/>
      <c r="S18" s="61"/>
      <c r="T18" s="159"/>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row>
    <row r="19" spans="1:79" x14ac:dyDescent="0.15">
      <c r="A19" s="159"/>
      <c r="B19" s="61"/>
      <c r="C19" s="154"/>
      <c r="D19" s="147"/>
      <c r="E19" s="147"/>
      <c r="F19" s="147"/>
      <c r="G19" s="147"/>
      <c r="H19" s="594">
        <v>0</v>
      </c>
      <c r="I19" s="594">
        <v>0</v>
      </c>
      <c r="J19" s="593">
        <v>0</v>
      </c>
      <c r="K19" s="593">
        <v>0</v>
      </c>
      <c r="L19" s="593">
        <v>0</v>
      </c>
      <c r="M19" s="594">
        <v>0</v>
      </c>
      <c r="N19" s="594">
        <v>0</v>
      </c>
      <c r="O19" s="593">
        <v>0</v>
      </c>
      <c r="P19" s="593">
        <v>0</v>
      </c>
      <c r="Q19" s="593">
        <v>0</v>
      </c>
      <c r="R19" s="155"/>
      <c r="S19" s="61"/>
      <c r="T19" s="159"/>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row>
    <row r="20" spans="1:79" ht="11.25" customHeight="1" x14ac:dyDescent="0.15">
      <c r="A20" s="159"/>
      <c r="B20" s="61"/>
      <c r="C20" s="154"/>
      <c r="D20" s="147"/>
      <c r="E20" s="147"/>
      <c r="F20" s="147"/>
      <c r="G20" s="147"/>
      <c r="H20" s="154"/>
      <c r="I20" s="147"/>
      <c r="J20" s="895" t="s">
        <v>217</v>
      </c>
      <c r="K20" s="895" t="s">
        <v>218</v>
      </c>
      <c r="L20" s="895" t="s">
        <v>218</v>
      </c>
      <c r="M20" s="154"/>
      <c r="N20" s="147"/>
      <c r="O20" s="895" t="s">
        <v>217</v>
      </c>
      <c r="P20" s="895" t="s">
        <v>218</v>
      </c>
      <c r="Q20" s="895" t="s">
        <v>218</v>
      </c>
      <c r="R20" s="155"/>
      <c r="S20" s="61"/>
      <c r="T20" s="159"/>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row>
    <row r="21" spans="1:79" x14ac:dyDescent="0.15">
      <c r="A21" s="159"/>
      <c r="B21" s="61"/>
      <c r="C21" s="154"/>
      <c r="D21" s="147"/>
      <c r="E21" s="147"/>
      <c r="F21" s="147"/>
      <c r="G21" s="147"/>
      <c r="H21" s="154"/>
      <c r="I21" s="147"/>
      <c r="J21" s="896"/>
      <c r="K21" s="896"/>
      <c r="L21" s="896"/>
      <c r="M21" s="154"/>
      <c r="N21" s="147"/>
      <c r="O21" s="896"/>
      <c r="P21" s="896"/>
      <c r="Q21" s="896"/>
      <c r="R21" s="155"/>
      <c r="S21" s="61"/>
      <c r="T21" s="159"/>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row>
    <row r="22" spans="1:79" x14ac:dyDescent="0.15">
      <c r="A22" s="159"/>
      <c r="B22" s="61"/>
      <c r="C22" s="154"/>
      <c r="D22" s="147"/>
      <c r="E22" s="147"/>
      <c r="F22" s="147"/>
      <c r="G22" s="147"/>
      <c r="H22" s="156"/>
      <c r="I22" s="157"/>
      <c r="J22" s="897"/>
      <c r="K22" s="897"/>
      <c r="L22" s="897"/>
      <c r="M22" s="156"/>
      <c r="N22" s="157"/>
      <c r="O22" s="897"/>
      <c r="P22" s="897"/>
      <c r="Q22" s="897"/>
      <c r="R22" s="155"/>
      <c r="S22" s="61"/>
      <c r="T22" s="159"/>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row>
    <row r="23" spans="1:79" ht="5.0999999999999996" customHeight="1" x14ac:dyDescent="0.15">
      <c r="A23" s="159"/>
      <c r="B23" s="61"/>
      <c r="C23" s="156"/>
      <c r="D23" s="157"/>
      <c r="E23" s="157"/>
      <c r="F23" s="157"/>
      <c r="G23" s="157"/>
      <c r="H23" s="157"/>
      <c r="I23" s="157"/>
      <c r="J23" s="157"/>
      <c r="K23" s="157"/>
      <c r="L23" s="157"/>
      <c r="M23" s="157"/>
      <c r="N23" s="157"/>
      <c r="O23" s="157"/>
      <c r="P23" s="157"/>
      <c r="Q23" s="157"/>
      <c r="R23" s="158"/>
      <c r="S23" s="61"/>
      <c r="T23" s="159"/>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row>
    <row r="24" spans="1:79" x14ac:dyDescent="0.15">
      <c r="A24" s="159"/>
      <c r="B24" s="61"/>
      <c r="C24" s="61"/>
      <c r="D24" s="61"/>
      <c r="E24" s="61"/>
      <c r="F24" s="61"/>
      <c r="G24" s="61"/>
      <c r="H24" s="61"/>
      <c r="I24" s="61"/>
      <c r="J24" s="61"/>
      <c r="K24" s="61"/>
      <c r="L24" s="61"/>
      <c r="M24" s="61"/>
      <c r="N24" s="61"/>
      <c r="O24" s="61"/>
      <c r="P24" s="61"/>
      <c r="Q24" s="61"/>
      <c r="R24" s="61"/>
      <c r="S24" s="61"/>
      <c r="T24" s="159"/>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row>
    <row r="25" spans="1:79" ht="5.0999999999999996" customHeight="1" x14ac:dyDescent="0.15">
      <c r="A25" s="159"/>
      <c r="B25" s="61"/>
      <c r="C25" s="151"/>
      <c r="D25" s="152"/>
      <c r="E25" s="152"/>
      <c r="F25" s="152"/>
      <c r="G25" s="152"/>
      <c r="H25" s="152"/>
      <c r="I25" s="152"/>
      <c r="J25" s="152"/>
      <c r="K25" s="152"/>
      <c r="L25" s="152"/>
      <c r="M25" s="152"/>
      <c r="N25" s="152"/>
      <c r="O25" s="152"/>
      <c r="P25" s="152"/>
      <c r="Q25" s="152"/>
      <c r="R25" s="153"/>
      <c r="S25" s="61"/>
      <c r="T25" s="159"/>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row>
    <row r="26" spans="1:79" x14ac:dyDescent="0.15">
      <c r="A26" s="159"/>
      <c r="B26" s="61"/>
      <c r="C26" s="154"/>
      <c r="D26" s="147" t="s">
        <v>205</v>
      </c>
      <c r="E26" s="147"/>
      <c r="F26" s="147"/>
      <c r="G26" s="147"/>
      <c r="H26" s="892" t="s">
        <v>206</v>
      </c>
      <c r="I26" s="893"/>
      <c r="J26" s="893"/>
      <c r="K26" s="893"/>
      <c r="L26" s="893"/>
      <c r="M26" s="892" t="s">
        <v>207</v>
      </c>
      <c r="N26" s="893"/>
      <c r="O26" s="893"/>
      <c r="P26" s="893"/>
      <c r="Q26" s="894"/>
      <c r="R26" s="155"/>
      <c r="S26" s="61"/>
      <c r="T26" s="159"/>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row>
    <row r="27" spans="1:79" ht="11.25" x14ac:dyDescent="0.15">
      <c r="A27" s="159"/>
      <c r="B27" s="61"/>
      <c r="C27" s="154"/>
      <c r="D27" s="898" t="s">
        <v>604</v>
      </c>
      <c r="E27" s="899"/>
      <c r="F27" s="900"/>
      <c r="G27" s="147"/>
      <c r="H27" s="160" t="s">
        <v>208</v>
      </c>
      <c r="I27" s="161" t="s">
        <v>209</v>
      </c>
      <c r="J27" s="161" t="s">
        <v>210</v>
      </c>
      <c r="K27" s="161" t="s">
        <v>211</v>
      </c>
      <c r="L27" s="161" t="s">
        <v>212</v>
      </c>
      <c r="M27" s="160" t="s">
        <v>208</v>
      </c>
      <c r="N27" s="161" t="s">
        <v>209</v>
      </c>
      <c r="O27" s="161" t="s">
        <v>210</v>
      </c>
      <c r="P27" s="161" t="s">
        <v>211</v>
      </c>
      <c r="Q27" s="162" t="s">
        <v>212</v>
      </c>
      <c r="R27" s="155"/>
      <c r="S27" s="61"/>
      <c r="T27" s="159"/>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row>
    <row r="28" spans="1:79" x14ac:dyDescent="0.15">
      <c r="A28" s="159"/>
      <c r="B28" s="61"/>
      <c r="C28" s="154"/>
      <c r="D28" s="147"/>
      <c r="E28" s="147"/>
      <c r="F28" s="147"/>
      <c r="G28" s="147"/>
      <c r="H28" s="160" t="s">
        <v>213</v>
      </c>
      <c r="I28" s="161" t="s">
        <v>213</v>
      </c>
      <c r="J28" s="161" t="s">
        <v>213</v>
      </c>
      <c r="K28" s="161" t="s">
        <v>213</v>
      </c>
      <c r="L28" s="161" t="s">
        <v>213</v>
      </c>
      <c r="M28" s="163" t="s">
        <v>214</v>
      </c>
      <c r="N28" s="164" t="s">
        <v>214</v>
      </c>
      <c r="O28" s="164" t="s">
        <v>214</v>
      </c>
      <c r="P28" s="164" t="s">
        <v>214</v>
      </c>
      <c r="Q28" s="165" t="s">
        <v>214</v>
      </c>
      <c r="R28" s="155"/>
      <c r="S28" s="61"/>
      <c r="T28" s="159"/>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row>
    <row r="29" spans="1:79" x14ac:dyDescent="0.15">
      <c r="A29" s="159"/>
      <c r="B29" s="61"/>
      <c r="C29" s="154"/>
      <c r="D29" s="147"/>
      <c r="E29" s="147"/>
      <c r="F29" s="147"/>
      <c r="G29" s="147"/>
      <c r="H29" s="593">
        <v>0</v>
      </c>
      <c r="I29" s="593">
        <v>0</v>
      </c>
      <c r="J29" s="593">
        <v>0</v>
      </c>
      <c r="K29" s="593">
        <v>0</v>
      </c>
      <c r="L29" s="593">
        <v>0</v>
      </c>
      <c r="M29" s="593">
        <v>0</v>
      </c>
      <c r="N29" s="593">
        <v>0</v>
      </c>
      <c r="O29" s="593">
        <v>0</v>
      </c>
      <c r="P29" s="593">
        <v>0</v>
      </c>
      <c r="Q29" s="593">
        <v>0</v>
      </c>
      <c r="R29" s="155"/>
      <c r="S29" s="61"/>
      <c r="T29" s="159"/>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row>
    <row r="30" spans="1:79" x14ac:dyDescent="0.15">
      <c r="A30" s="159"/>
      <c r="B30" s="61"/>
      <c r="C30" s="154"/>
      <c r="D30" s="147"/>
      <c r="E30" s="147"/>
      <c r="F30" s="147"/>
      <c r="G30" s="147"/>
      <c r="H30" s="147"/>
      <c r="I30" s="147"/>
      <c r="J30" s="147"/>
      <c r="K30" s="147"/>
      <c r="L30" s="147"/>
      <c r="M30" s="147"/>
      <c r="N30" s="147"/>
      <c r="O30" s="147"/>
      <c r="P30" s="147"/>
      <c r="Q30" s="147"/>
      <c r="R30" s="155"/>
      <c r="S30" s="61"/>
      <c r="T30" s="159"/>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row>
    <row r="31" spans="1:79" x14ac:dyDescent="0.15">
      <c r="A31" s="159"/>
      <c r="B31" s="61"/>
      <c r="C31" s="154"/>
      <c r="D31" s="147"/>
      <c r="E31" s="147"/>
      <c r="F31" s="147"/>
      <c r="G31" s="147"/>
      <c r="H31" s="892" t="s">
        <v>215</v>
      </c>
      <c r="I31" s="893"/>
      <c r="J31" s="893"/>
      <c r="K31" s="893"/>
      <c r="L31" s="893"/>
      <c r="M31" s="892" t="s">
        <v>216</v>
      </c>
      <c r="N31" s="893"/>
      <c r="O31" s="893"/>
      <c r="P31" s="893"/>
      <c r="Q31" s="894"/>
      <c r="R31" s="155"/>
      <c r="S31" s="61"/>
      <c r="T31" s="159"/>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row>
    <row r="32" spans="1:79" x14ac:dyDescent="0.15">
      <c r="A32" s="159"/>
      <c r="B32" s="61"/>
      <c r="C32" s="154"/>
      <c r="D32" s="147"/>
      <c r="E32" s="147"/>
      <c r="F32" s="147"/>
      <c r="G32" s="147"/>
      <c r="H32" s="160" t="s">
        <v>208</v>
      </c>
      <c r="I32" s="161" t="s">
        <v>209</v>
      </c>
      <c r="J32" s="161" t="s">
        <v>210</v>
      </c>
      <c r="K32" s="161" t="s">
        <v>211</v>
      </c>
      <c r="L32" s="161" t="s">
        <v>212</v>
      </c>
      <c r="M32" s="160" t="s">
        <v>208</v>
      </c>
      <c r="N32" s="161" t="s">
        <v>209</v>
      </c>
      <c r="O32" s="161" t="s">
        <v>210</v>
      </c>
      <c r="P32" s="161" t="s">
        <v>211</v>
      </c>
      <c r="Q32" s="162" t="s">
        <v>212</v>
      </c>
      <c r="R32" s="155"/>
      <c r="S32" s="61"/>
      <c r="T32" s="159"/>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row>
    <row r="33" spans="1:79" x14ac:dyDescent="0.15">
      <c r="A33" s="159"/>
      <c r="B33" s="61"/>
      <c r="C33" s="154"/>
      <c r="D33" s="147"/>
      <c r="E33" s="147"/>
      <c r="F33" s="147"/>
      <c r="G33" s="147"/>
      <c r="H33" s="160" t="s">
        <v>213</v>
      </c>
      <c r="I33" s="161" t="s">
        <v>213</v>
      </c>
      <c r="J33" s="161" t="s">
        <v>213</v>
      </c>
      <c r="K33" s="161" t="s">
        <v>213</v>
      </c>
      <c r="L33" s="161" t="s">
        <v>213</v>
      </c>
      <c r="M33" s="160" t="s">
        <v>213</v>
      </c>
      <c r="N33" s="161" t="s">
        <v>213</v>
      </c>
      <c r="O33" s="164" t="s">
        <v>214</v>
      </c>
      <c r="P33" s="164" t="s">
        <v>214</v>
      </c>
      <c r="Q33" s="165" t="s">
        <v>214</v>
      </c>
      <c r="R33" s="155"/>
      <c r="S33" s="61"/>
      <c r="T33" s="159"/>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row>
    <row r="34" spans="1:79" x14ac:dyDescent="0.15">
      <c r="A34" s="159"/>
      <c r="B34" s="61"/>
      <c r="C34" s="154"/>
      <c r="D34" s="147"/>
      <c r="E34" s="147"/>
      <c r="F34" s="147"/>
      <c r="G34" s="147"/>
      <c r="H34" s="594">
        <v>0</v>
      </c>
      <c r="I34" s="594">
        <v>0</v>
      </c>
      <c r="J34" s="593">
        <v>0</v>
      </c>
      <c r="K34" s="593">
        <v>0</v>
      </c>
      <c r="L34" s="595">
        <v>0</v>
      </c>
      <c r="M34" s="594">
        <v>0</v>
      </c>
      <c r="N34" s="594">
        <v>0</v>
      </c>
      <c r="O34" s="593">
        <v>0</v>
      </c>
      <c r="P34" s="593">
        <v>0</v>
      </c>
      <c r="Q34" s="593">
        <v>0</v>
      </c>
      <c r="R34" s="155"/>
      <c r="S34" s="61"/>
      <c r="T34" s="159"/>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row>
    <row r="35" spans="1:79" ht="10.5" customHeight="1" x14ac:dyDescent="0.15">
      <c r="A35" s="159"/>
      <c r="B35" s="61"/>
      <c r="C35" s="154"/>
      <c r="D35" s="147"/>
      <c r="E35" s="147"/>
      <c r="F35" s="147"/>
      <c r="G35" s="147"/>
      <c r="H35" s="154"/>
      <c r="I35" s="147"/>
      <c r="J35" s="895" t="s">
        <v>217</v>
      </c>
      <c r="K35" s="895" t="s">
        <v>218</v>
      </c>
      <c r="L35" s="895" t="s">
        <v>218</v>
      </c>
      <c r="M35" s="154"/>
      <c r="N35" s="147"/>
      <c r="O35" s="895" t="s">
        <v>217</v>
      </c>
      <c r="P35" s="895" t="s">
        <v>218</v>
      </c>
      <c r="Q35" s="895" t="s">
        <v>218</v>
      </c>
      <c r="R35" s="155"/>
      <c r="S35" s="61"/>
      <c r="T35" s="159"/>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row>
    <row r="36" spans="1:79" x14ac:dyDescent="0.15">
      <c r="A36" s="159"/>
      <c r="B36" s="61"/>
      <c r="C36" s="154"/>
      <c r="D36" s="147"/>
      <c r="E36" s="147"/>
      <c r="F36" s="147"/>
      <c r="G36" s="147"/>
      <c r="H36" s="154"/>
      <c r="I36" s="147"/>
      <c r="J36" s="896"/>
      <c r="K36" s="896"/>
      <c r="L36" s="896"/>
      <c r="M36" s="154"/>
      <c r="N36" s="147"/>
      <c r="O36" s="896"/>
      <c r="P36" s="896"/>
      <c r="Q36" s="896"/>
      <c r="R36" s="155"/>
      <c r="S36" s="61"/>
      <c r="T36" s="159"/>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row>
    <row r="37" spans="1:79" x14ac:dyDescent="0.15">
      <c r="A37" s="159"/>
      <c r="B37" s="61"/>
      <c r="C37" s="154"/>
      <c r="D37" s="147"/>
      <c r="E37" s="147"/>
      <c r="F37" s="147"/>
      <c r="G37" s="147"/>
      <c r="H37" s="156"/>
      <c r="I37" s="157"/>
      <c r="J37" s="897"/>
      <c r="K37" s="897"/>
      <c r="L37" s="897"/>
      <c r="M37" s="156"/>
      <c r="N37" s="157"/>
      <c r="O37" s="897"/>
      <c r="P37" s="897"/>
      <c r="Q37" s="897"/>
      <c r="R37" s="155"/>
      <c r="S37" s="61"/>
      <c r="T37" s="159"/>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row>
    <row r="38" spans="1:79" ht="5.0999999999999996" customHeight="1" x14ac:dyDescent="0.15">
      <c r="A38" s="159"/>
      <c r="B38" s="61"/>
      <c r="C38" s="156"/>
      <c r="D38" s="157"/>
      <c r="E38" s="157"/>
      <c r="F38" s="157"/>
      <c r="G38" s="157"/>
      <c r="H38" s="157"/>
      <c r="I38" s="157"/>
      <c r="J38" s="157"/>
      <c r="K38" s="157"/>
      <c r="L38" s="157"/>
      <c r="M38" s="157"/>
      <c r="N38" s="157"/>
      <c r="O38" s="157"/>
      <c r="P38" s="157"/>
      <c r="Q38" s="157"/>
      <c r="R38" s="158"/>
      <c r="S38" s="61"/>
      <c r="T38" s="159"/>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row>
    <row r="39" spans="1:79" x14ac:dyDescent="0.15">
      <c r="A39" s="159"/>
      <c r="B39" s="61"/>
      <c r="C39" s="61"/>
      <c r="D39" s="61"/>
      <c r="E39" s="61"/>
      <c r="F39" s="61"/>
      <c r="G39" s="61"/>
      <c r="H39" s="61"/>
      <c r="I39" s="61"/>
      <c r="J39" s="61"/>
      <c r="K39" s="61"/>
      <c r="L39" s="61"/>
      <c r="M39" s="61"/>
      <c r="N39" s="61"/>
      <c r="O39" s="61"/>
      <c r="P39" s="61"/>
      <c r="Q39" s="61"/>
      <c r="R39" s="61"/>
      <c r="S39" s="61"/>
      <c r="T39" s="159"/>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row>
    <row r="40" spans="1:79" ht="5.0999999999999996" customHeight="1" x14ac:dyDescent="0.15">
      <c r="A40" s="159"/>
      <c r="B40" s="61"/>
      <c r="C40" s="151"/>
      <c r="D40" s="152"/>
      <c r="E40" s="152"/>
      <c r="F40" s="152"/>
      <c r="G40" s="152"/>
      <c r="H40" s="152"/>
      <c r="I40" s="152"/>
      <c r="J40" s="152"/>
      <c r="K40" s="152"/>
      <c r="L40" s="152"/>
      <c r="M40" s="152"/>
      <c r="N40" s="152"/>
      <c r="O40" s="152"/>
      <c r="P40" s="152"/>
      <c r="Q40" s="152"/>
      <c r="R40" s="153"/>
      <c r="S40" s="61"/>
      <c r="T40" s="159"/>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row>
    <row r="41" spans="1:79" x14ac:dyDescent="0.15">
      <c r="A41" s="159"/>
      <c r="B41" s="61"/>
      <c r="C41" s="154"/>
      <c r="D41" s="147" t="s">
        <v>205</v>
      </c>
      <c r="E41" s="147"/>
      <c r="F41" s="147"/>
      <c r="G41" s="147"/>
      <c r="H41" s="892" t="s">
        <v>206</v>
      </c>
      <c r="I41" s="893"/>
      <c r="J41" s="893"/>
      <c r="K41" s="893"/>
      <c r="L41" s="893"/>
      <c r="M41" s="892" t="s">
        <v>207</v>
      </c>
      <c r="N41" s="893"/>
      <c r="O41" s="893"/>
      <c r="P41" s="893"/>
      <c r="Q41" s="894"/>
      <c r="R41" s="155"/>
      <c r="S41" s="61"/>
      <c r="T41" s="159"/>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row>
    <row r="42" spans="1:79" ht="11.25" x14ac:dyDescent="0.15">
      <c r="A42" s="159"/>
      <c r="B42" s="61"/>
      <c r="C42" s="154"/>
      <c r="D42" s="898" t="s">
        <v>605</v>
      </c>
      <c r="E42" s="899"/>
      <c r="F42" s="900"/>
      <c r="G42" s="147"/>
      <c r="H42" s="160" t="s">
        <v>208</v>
      </c>
      <c r="I42" s="161" t="s">
        <v>209</v>
      </c>
      <c r="J42" s="161" t="s">
        <v>210</v>
      </c>
      <c r="K42" s="161" t="s">
        <v>211</v>
      </c>
      <c r="L42" s="161" t="s">
        <v>212</v>
      </c>
      <c r="M42" s="160" t="s">
        <v>208</v>
      </c>
      <c r="N42" s="161" t="s">
        <v>209</v>
      </c>
      <c r="O42" s="161" t="s">
        <v>210</v>
      </c>
      <c r="P42" s="161" t="s">
        <v>211</v>
      </c>
      <c r="Q42" s="162" t="s">
        <v>212</v>
      </c>
      <c r="R42" s="155"/>
      <c r="S42" s="61"/>
      <c r="T42" s="159"/>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row>
    <row r="43" spans="1:79" x14ac:dyDescent="0.15">
      <c r="A43" s="159"/>
      <c r="B43" s="61"/>
      <c r="C43" s="154"/>
      <c r="D43" s="147"/>
      <c r="E43" s="147"/>
      <c r="F43" s="147"/>
      <c r="G43" s="147"/>
      <c r="H43" s="160" t="s">
        <v>213</v>
      </c>
      <c r="I43" s="161" t="s">
        <v>213</v>
      </c>
      <c r="J43" s="161" t="s">
        <v>213</v>
      </c>
      <c r="K43" s="161" t="s">
        <v>213</v>
      </c>
      <c r="L43" s="161" t="s">
        <v>213</v>
      </c>
      <c r="M43" s="163" t="s">
        <v>214</v>
      </c>
      <c r="N43" s="164" t="s">
        <v>214</v>
      </c>
      <c r="O43" s="164" t="s">
        <v>214</v>
      </c>
      <c r="P43" s="164" t="s">
        <v>214</v>
      </c>
      <c r="Q43" s="165" t="s">
        <v>214</v>
      </c>
      <c r="R43" s="155"/>
      <c r="S43" s="61"/>
      <c r="T43" s="159"/>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row>
    <row r="44" spans="1:79" x14ac:dyDescent="0.15">
      <c r="A44" s="159"/>
      <c r="B44" s="61"/>
      <c r="C44" s="154"/>
      <c r="D44" s="147"/>
      <c r="E44" s="147"/>
      <c r="F44" s="147"/>
      <c r="G44" s="147"/>
      <c r="H44" s="593">
        <v>0</v>
      </c>
      <c r="I44" s="593">
        <v>0</v>
      </c>
      <c r="J44" s="593">
        <v>0</v>
      </c>
      <c r="K44" s="593">
        <v>0</v>
      </c>
      <c r="L44" s="593">
        <v>0</v>
      </c>
      <c r="M44" s="593">
        <v>0</v>
      </c>
      <c r="N44" s="593">
        <v>0</v>
      </c>
      <c r="O44" s="593">
        <v>0</v>
      </c>
      <c r="P44" s="593">
        <v>0</v>
      </c>
      <c r="Q44" s="593">
        <v>0</v>
      </c>
      <c r="R44" s="155"/>
      <c r="S44" s="61"/>
      <c r="T44" s="159"/>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row>
    <row r="45" spans="1:79" x14ac:dyDescent="0.15">
      <c r="A45" s="159"/>
      <c r="B45" s="61"/>
      <c r="C45" s="154"/>
      <c r="D45" s="147"/>
      <c r="E45" s="147"/>
      <c r="F45" s="147"/>
      <c r="G45" s="147"/>
      <c r="H45" s="147"/>
      <c r="I45" s="147"/>
      <c r="J45" s="147"/>
      <c r="K45" s="147"/>
      <c r="L45" s="147"/>
      <c r="M45" s="147"/>
      <c r="N45" s="147"/>
      <c r="O45" s="147"/>
      <c r="P45" s="147"/>
      <c r="Q45" s="147"/>
      <c r="R45" s="155"/>
      <c r="S45" s="61"/>
      <c r="T45" s="159"/>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row>
    <row r="46" spans="1:79" x14ac:dyDescent="0.15">
      <c r="A46" s="159"/>
      <c r="B46" s="61"/>
      <c r="C46" s="154"/>
      <c r="D46" s="147"/>
      <c r="E46" s="147"/>
      <c r="F46" s="147"/>
      <c r="G46" s="147"/>
      <c r="H46" s="892" t="s">
        <v>215</v>
      </c>
      <c r="I46" s="893"/>
      <c r="J46" s="893"/>
      <c r="K46" s="893"/>
      <c r="L46" s="893"/>
      <c r="M46" s="892" t="s">
        <v>216</v>
      </c>
      <c r="N46" s="893"/>
      <c r="O46" s="893"/>
      <c r="P46" s="893"/>
      <c r="Q46" s="894"/>
      <c r="R46" s="155"/>
      <c r="S46" s="61"/>
      <c r="T46" s="159"/>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row>
    <row r="47" spans="1:79" x14ac:dyDescent="0.15">
      <c r="A47" s="159"/>
      <c r="B47" s="61"/>
      <c r="C47" s="154"/>
      <c r="D47" s="147"/>
      <c r="E47" s="147"/>
      <c r="F47" s="147"/>
      <c r="G47" s="147"/>
      <c r="H47" s="160" t="s">
        <v>208</v>
      </c>
      <c r="I47" s="161" t="s">
        <v>209</v>
      </c>
      <c r="J47" s="161" t="s">
        <v>210</v>
      </c>
      <c r="K47" s="161" t="s">
        <v>211</v>
      </c>
      <c r="L47" s="161" t="s">
        <v>212</v>
      </c>
      <c r="M47" s="160" t="s">
        <v>208</v>
      </c>
      <c r="N47" s="161" t="s">
        <v>209</v>
      </c>
      <c r="O47" s="161" t="s">
        <v>210</v>
      </c>
      <c r="P47" s="161" t="s">
        <v>211</v>
      </c>
      <c r="Q47" s="162" t="s">
        <v>212</v>
      </c>
      <c r="R47" s="155"/>
      <c r="S47" s="61"/>
      <c r="T47" s="159"/>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row>
    <row r="48" spans="1:79" x14ac:dyDescent="0.15">
      <c r="A48" s="159"/>
      <c r="B48" s="61"/>
      <c r="C48" s="154"/>
      <c r="D48" s="147"/>
      <c r="E48" s="147"/>
      <c r="F48" s="147"/>
      <c r="G48" s="147"/>
      <c r="H48" s="160" t="s">
        <v>213</v>
      </c>
      <c r="I48" s="161" t="s">
        <v>213</v>
      </c>
      <c r="J48" s="161" t="s">
        <v>213</v>
      </c>
      <c r="K48" s="161" t="s">
        <v>213</v>
      </c>
      <c r="L48" s="161" t="s">
        <v>213</v>
      </c>
      <c r="M48" s="160" t="s">
        <v>213</v>
      </c>
      <c r="N48" s="161" t="s">
        <v>213</v>
      </c>
      <c r="O48" s="164" t="s">
        <v>214</v>
      </c>
      <c r="P48" s="164" t="s">
        <v>214</v>
      </c>
      <c r="Q48" s="165" t="s">
        <v>214</v>
      </c>
      <c r="R48" s="155"/>
      <c r="S48" s="61"/>
      <c r="T48" s="159"/>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row>
    <row r="49" spans="1:79" x14ac:dyDescent="0.15">
      <c r="A49" s="159"/>
      <c r="B49" s="61"/>
      <c r="C49" s="154"/>
      <c r="D49" s="147"/>
      <c r="E49" s="147"/>
      <c r="F49" s="147"/>
      <c r="G49" s="147"/>
      <c r="H49" s="594">
        <v>0</v>
      </c>
      <c r="I49" s="594">
        <v>0</v>
      </c>
      <c r="J49" s="593">
        <v>0</v>
      </c>
      <c r="K49" s="593">
        <v>0</v>
      </c>
      <c r="L49" s="593">
        <v>0</v>
      </c>
      <c r="M49" s="594">
        <v>0</v>
      </c>
      <c r="N49" s="594">
        <v>0</v>
      </c>
      <c r="O49" s="593">
        <v>0</v>
      </c>
      <c r="P49" s="593">
        <v>0</v>
      </c>
      <c r="Q49" s="593">
        <v>0</v>
      </c>
      <c r="R49" s="155"/>
      <c r="S49" s="61"/>
      <c r="T49" s="159"/>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row>
    <row r="50" spans="1:79" ht="10.5" customHeight="1" x14ac:dyDescent="0.15">
      <c r="A50" s="159"/>
      <c r="B50" s="61"/>
      <c r="C50" s="154"/>
      <c r="D50" s="147"/>
      <c r="E50" s="147"/>
      <c r="F50" s="147"/>
      <c r="G50" s="147"/>
      <c r="H50" s="154"/>
      <c r="I50" s="147"/>
      <c r="J50" s="895" t="s">
        <v>217</v>
      </c>
      <c r="K50" s="895" t="s">
        <v>218</v>
      </c>
      <c r="L50" s="895" t="s">
        <v>218</v>
      </c>
      <c r="M50" s="154"/>
      <c r="N50" s="147"/>
      <c r="O50" s="895" t="s">
        <v>217</v>
      </c>
      <c r="P50" s="895" t="s">
        <v>218</v>
      </c>
      <c r="Q50" s="895" t="s">
        <v>218</v>
      </c>
      <c r="R50" s="155"/>
      <c r="S50" s="61"/>
      <c r="T50" s="159"/>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row>
    <row r="51" spans="1:79" x14ac:dyDescent="0.15">
      <c r="A51" s="159"/>
      <c r="B51" s="61"/>
      <c r="C51" s="154"/>
      <c r="D51" s="147"/>
      <c r="E51" s="147"/>
      <c r="F51" s="147"/>
      <c r="G51" s="147"/>
      <c r="H51" s="154"/>
      <c r="I51" s="147"/>
      <c r="J51" s="896"/>
      <c r="K51" s="896"/>
      <c r="L51" s="896"/>
      <c r="M51" s="154"/>
      <c r="N51" s="147"/>
      <c r="O51" s="896"/>
      <c r="P51" s="896"/>
      <c r="Q51" s="896"/>
      <c r="R51" s="155"/>
      <c r="S51" s="61"/>
      <c r="T51" s="159"/>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row>
    <row r="52" spans="1:79" x14ac:dyDescent="0.15">
      <c r="A52" s="159"/>
      <c r="B52" s="61"/>
      <c r="C52" s="154"/>
      <c r="D52" s="147"/>
      <c r="E52" s="147"/>
      <c r="F52" s="147"/>
      <c r="G52" s="147"/>
      <c r="H52" s="156"/>
      <c r="I52" s="157"/>
      <c r="J52" s="897"/>
      <c r="K52" s="897"/>
      <c r="L52" s="897"/>
      <c r="M52" s="156"/>
      <c r="N52" s="157"/>
      <c r="O52" s="897"/>
      <c r="P52" s="897"/>
      <c r="Q52" s="897"/>
      <c r="R52" s="155"/>
      <c r="S52" s="61"/>
      <c r="T52" s="159"/>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row>
    <row r="53" spans="1:79" ht="5.0999999999999996" customHeight="1" x14ac:dyDescent="0.15">
      <c r="A53" s="159"/>
      <c r="B53" s="61"/>
      <c r="C53" s="156"/>
      <c r="D53" s="157"/>
      <c r="E53" s="157"/>
      <c r="F53" s="157"/>
      <c r="G53" s="157"/>
      <c r="H53" s="157"/>
      <c r="I53" s="157"/>
      <c r="J53" s="157"/>
      <c r="K53" s="157"/>
      <c r="L53" s="157"/>
      <c r="M53" s="157"/>
      <c r="N53" s="157"/>
      <c r="O53" s="157"/>
      <c r="P53" s="157"/>
      <c r="Q53" s="157"/>
      <c r="R53" s="158"/>
      <c r="S53" s="61"/>
      <c r="T53" s="159"/>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row>
    <row r="54" spans="1:79" x14ac:dyDescent="0.15">
      <c r="A54" s="159"/>
      <c r="B54" s="61"/>
      <c r="C54" s="61"/>
      <c r="D54" s="61"/>
      <c r="E54" s="61"/>
      <c r="F54" s="61"/>
      <c r="G54" s="61"/>
      <c r="H54" s="61"/>
      <c r="I54" s="61"/>
      <c r="J54" s="61"/>
      <c r="K54" s="61"/>
      <c r="L54" s="61"/>
      <c r="M54" s="61"/>
      <c r="N54" s="61"/>
      <c r="O54" s="61"/>
      <c r="P54" s="61"/>
      <c r="Q54" s="61"/>
      <c r="R54" s="61"/>
      <c r="S54" s="61"/>
      <c r="T54" s="159"/>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row>
    <row r="55" spans="1:79" x14ac:dyDescent="0.15">
      <c r="A55" s="159"/>
      <c r="B55" s="159"/>
      <c r="C55" s="159"/>
      <c r="D55" s="159"/>
      <c r="E55" s="159"/>
      <c r="F55" s="159"/>
      <c r="G55" s="159"/>
      <c r="H55" s="159"/>
      <c r="I55" s="159"/>
      <c r="J55" s="159"/>
      <c r="K55" s="159"/>
      <c r="L55" s="159"/>
      <c r="M55" s="159"/>
      <c r="N55" s="159"/>
      <c r="O55" s="159"/>
      <c r="P55" s="159"/>
      <c r="Q55" s="159"/>
      <c r="R55" s="159"/>
      <c r="S55" s="159"/>
      <c r="T55" s="159"/>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row>
    <row r="56" spans="1:79" x14ac:dyDescent="0.15">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row>
    <row r="57" spans="1:79" x14ac:dyDescent="0.15">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row>
    <row r="58" spans="1:79" x14ac:dyDescent="0.15">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row>
    <row r="59" spans="1:79" x14ac:dyDescent="0.15">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row>
    <row r="60" spans="1:79" x14ac:dyDescent="0.15">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row>
    <row r="61" spans="1:79" x14ac:dyDescent="0.15">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row>
    <row r="62" spans="1:79" x14ac:dyDescent="0.15">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row>
    <row r="63" spans="1:79" x14ac:dyDescent="0.15">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row>
    <row r="64" spans="1:79" x14ac:dyDescent="0.15">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166"/>
      <c r="BY64" s="166"/>
      <c r="BZ64" s="166"/>
      <c r="CA64" s="166"/>
    </row>
    <row r="65" spans="1:79" x14ac:dyDescent="0.15">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row>
    <row r="66" spans="1:79" x14ac:dyDescent="0.15">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row>
    <row r="67" spans="1:79" x14ac:dyDescent="0.15">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row>
    <row r="68" spans="1:79" x14ac:dyDescent="0.15">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row>
    <row r="69" spans="1:79" x14ac:dyDescent="0.15">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row>
    <row r="70" spans="1:79" x14ac:dyDescent="0.15">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row>
    <row r="71" spans="1:79" x14ac:dyDescent="0.15">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row>
    <row r="72" spans="1:79" x14ac:dyDescent="0.15">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row>
    <row r="73" spans="1:79" x14ac:dyDescent="0.15">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row>
    <row r="74" spans="1:79" x14ac:dyDescent="0.15">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row>
    <row r="75" spans="1:79" x14ac:dyDescent="0.15">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row>
    <row r="76" spans="1:79" x14ac:dyDescent="0.15">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row>
    <row r="77" spans="1:79" x14ac:dyDescent="0.15">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row>
    <row r="78" spans="1:79" x14ac:dyDescent="0.1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row>
    <row r="79" spans="1:79" x14ac:dyDescent="0.15">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row>
    <row r="80" spans="1:79" x14ac:dyDescent="0.1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row>
    <row r="81" spans="1:79" x14ac:dyDescent="0.15">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row>
    <row r="82" spans="1:79" x14ac:dyDescent="0.15">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row>
    <row r="83" spans="1:79" x14ac:dyDescent="0.15">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row>
    <row r="84" spans="1:79"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row>
    <row r="85" spans="1:79"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row>
    <row r="86" spans="1:79"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row>
    <row r="87" spans="1:79"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row>
    <row r="88" spans="1:79"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row>
    <row r="89" spans="1:79"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row>
    <row r="90" spans="1:79"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row>
    <row r="91" spans="1:79"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row>
    <row r="92" spans="1:79" x14ac:dyDescent="0.15">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row>
    <row r="93" spans="1:79" x14ac:dyDescent="0.15">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row>
    <row r="94" spans="1:79" x14ac:dyDescent="0.15">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row>
    <row r="95" spans="1:79" x14ac:dyDescent="0.15">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row>
    <row r="96" spans="1:79" x14ac:dyDescent="0.15">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row>
    <row r="97" spans="1:79" x14ac:dyDescent="0.15">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row>
    <row r="98" spans="1:79" x14ac:dyDescent="0.15">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row>
    <row r="99" spans="1:79" x14ac:dyDescent="0.15">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row>
    <row r="100" spans="1:79" x14ac:dyDescent="0.15">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row>
    <row r="101" spans="1:79" x14ac:dyDescent="0.15">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row>
    <row r="102" spans="1:79" x14ac:dyDescent="0.15">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row>
    <row r="103" spans="1:79" x14ac:dyDescent="0.15">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row>
    <row r="104" spans="1:79" x14ac:dyDescent="0.15">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row>
    <row r="105" spans="1:79" x14ac:dyDescent="0.15">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row>
    <row r="106" spans="1:79" x14ac:dyDescent="0.15">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row>
    <row r="107" spans="1:79" x14ac:dyDescent="0.15">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row>
    <row r="108" spans="1:79" x14ac:dyDescent="0.15">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row>
    <row r="109" spans="1:79" x14ac:dyDescent="0.15">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row>
    <row r="110" spans="1:79" x14ac:dyDescent="0.15">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row>
    <row r="111" spans="1:79" x14ac:dyDescent="0.15">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row>
    <row r="112" spans="1:79" x14ac:dyDescent="0.15">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row>
    <row r="113" spans="1:79" x14ac:dyDescent="0.15">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row>
    <row r="114" spans="1:79" x14ac:dyDescent="0.15">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row>
    <row r="115" spans="1:79" x14ac:dyDescent="0.15">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row>
    <row r="116" spans="1:79" x14ac:dyDescent="0.15">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row>
    <row r="117" spans="1:79" x14ac:dyDescent="0.15">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row>
    <row r="118" spans="1:79" x14ac:dyDescent="0.1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row>
    <row r="119" spans="1:79" x14ac:dyDescent="0.1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row>
    <row r="120" spans="1:79" x14ac:dyDescent="0.1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row>
    <row r="121" spans="1:79" x14ac:dyDescent="0.1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row>
    <row r="122" spans="1:79" x14ac:dyDescent="0.1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row>
    <row r="123" spans="1:79" x14ac:dyDescent="0.1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row>
    <row r="124" spans="1:79" x14ac:dyDescent="0.1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row>
    <row r="125" spans="1:79" x14ac:dyDescent="0.1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row>
    <row r="126" spans="1:79" x14ac:dyDescent="0.15">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row>
    <row r="127" spans="1:79" x14ac:dyDescent="0.15">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row>
    <row r="128" spans="1:79" x14ac:dyDescent="0.15">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row>
    <row r="129" spans="1:79" x14ac:dyDescent="0.1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row>
    <row r="130" spans="1:79" x14ac:dyDescent="0.15">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row>
    <row r="131" spans="1:79" x14ac:dyDescent="0.1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row>
    <row r="132" spans="1:79" x14ac:dyDescent="0.1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row>
    <row r="133" spans="1:79" x14ac:dyDescent="0.15">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row>
    <row r="134" spans="1:79" x14ac:dyDescent="0.15">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row>
    <row r="135" spans="1:79" x14ac:dyDescent="0.15">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row>
    <row r="136" spans="1:79" x14ac:dyDescent="0.15">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row>
    <row r="137" spans="1:79" x14ac:dyDescent="0.15">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row>
    <row r="138" spans="1:79" x14ac:dyDescent="0.15">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row>
    <row r="139" spans="1:79" x14ac:dyDescent="0.15">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row>
    <row r="140" spans="1:79" x14ac:dyDescent="0.15">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row>
    <row r="141" spans="1:79" x14ac:dyDescent="0.15">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row>
    <row r="142" spans="1:79" x14ac:dyDescent="0.15">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row>
    <row r="143" spans="1:79" x14ac:dyDescent="0.15">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row>
    <row r="144" spans="1:79" x14ac:dyDescent="0.15">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row>
    <row r="145" spans="1:79" x14ac:dyDescent="0.15">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row>
    <row r="146" spans="1:79" x14ac:dyDescent="0.15">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row>
    <row r="147" spans="1:79" x14ac:dyDescent="0.15">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row>
    <row r="148" spans="1:79" x14ac:dyDescent="0.15">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row>
    <row r="149" spans="1:79" x14ac:dyDescent="0.15">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row>
    <row r="150" spans="1:79" x14ac:dyDescent="0.15">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row>
    <row r="151" spans="1:79" x14ac:dyDescent="0.1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row>
    <row r="152" spans="1:79" x14ac:dyDescent="0.15">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row>
    <row r="153" spans="1:79" x14ac:dyDescent="0.15">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row>
    <row r="154" spans="1:79" x14ac:dyDescent="0.15">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row>
    <row r="155" spans="1:79" x14ac:dyDescent="0.1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row>
    <row r="156" spans="1:79" x14ac:dyDescent="0.15">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row>
    <row r="157" spans="1:79" x14ac:dyDescent="0.15">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row>
    <row r="158" spans="1:79" x14ac:dyDescent="0.15">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row>
    <row r="159" spans="1:79" x14ac:dyDescent="0.15">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row>
    <row r="160" spans="1:79"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row>
    <row r="161" spans="1:79"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row>
    <row r="162" spans="1:79"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row>
    <row r="163" spans="1:79"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row>
    <row r="164" spans="1:79"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row>
    <row r="165" spans="1:79"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row>
    <row r="166" spans="1:79"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row>
    <row r="167" spans="1:79"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row>
    <row r="168" spans="1:79"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row>
    <row r="169" spans="1:79"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row>
    <row r="170" spans="1:79"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row>
    <row r="171" spans="1:79"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row>
    <row r="172" spans="1:79"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row>
    <row r="173" spans="1:79"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row>
    <row r="174" spans="1:79"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row>
    <row r="175" spans="1:79"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row>
    <row r="176" spans="1:79"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row>
    <row r="177" spans="1:79"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row>
    <row r="178" spans="1:79"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row>
    <row r="179" spans="1:79" x14ac:dyDescent="0.15">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row>
    <row r="180" spans="1:79" x14ac:dyDescent="0.1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row>
    <row r="181" spans="1:79" x14ac:dyDescent="0.1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row>
    <row r="182" spans="1:79" x14ac:dyDescent="0.15">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row>
    <row r="183" spans="1:79" x14ac:dyDescent="0.15">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row>
    <row r="184" spans="1:79" x14ac:dyDescent="0.15">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row>
    <row r="185" spans="1:79" x14ac:dyDescent="0.15">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row>
    <row r="186" spans="1:79" x14ac:dyDescent="0.15">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row>
    <row r="187" spans="1:79" x14ac:dyDescent="0.15">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row>
    <row r="188" spans="1:79" x14ac:dyDescent="0.15">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row>
    <row r="189" spans="1:79" x14ac:dyDescent="0.15">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row>
    <row r="190" spans="1:79" x14ac:dyDescent="0.15">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row>
    <row r="191" spans="1:79" x14ac:dyDescent="0.15">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row>
    <row r="192" spans="1:79" x14ac:dyDescent="0.15">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row>
    <row r="193" spans="1:79" x14ac:dyDescent="0.15">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row>
    <row r="194" spans="1:79" x14ac:dyDescent="0.15">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row>
    <row r="195" spans="1:79" x14ac:dyDescent="0.15">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row>
    <row r="196" spans="1:79" x14ac:dyDescent="0.15">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row>
    <row r="197" spans="1:79" x14ac:dyDescent="0.15">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row>
    <row r="198" spans="1:79" x14ac:dyDescent="0.15">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row>
    <row r="199" spans="1:79" x14ac:dyDescent="0.15">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row>
    <row r="200" spans="1:79" x14ac:dyDescent="0.15">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row>
    <row r="201" spans="1:79" x14ac:dyDescent="0.15">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row>
    <row r="202" spans="1:79" x14ac:dyDescent="0.15">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row>
    <row r="203" spans="1:79" x14ac:dyDescent="0.15">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row>
    <row r="204" spans="1:79" x14ac:dyDescent="0.15">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row>
    <row r="205" spans="1:79" x14ac:dyDescent="0.15">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row>
    <row r="206" spans="1:79" x14ac:dyDescent="0.15">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row>
    <row r="207" spans="1:79" x14ac:dyDescent="0.15">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row>
    <row r="208" spans="1:79" x14ac:dyDescent="0.15">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row>
    <row r="209" spans="1:79" x14ac:dyDescent="0.15">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row>
    <row r="210" spans="1:79" x14ac:dyDescent="0.15">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row>
    <row r="211" spans="1:79" x14ac:dyDescent="0.15">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row>
    <row r="212" spans="1:79" x14ac:dyDescent="0.15">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row>
    <row r="213" spans="1:79" x14ac:dyDescent="0.15">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row>
    <row r="214" spans="1:79" x14ac:dyDescent="0.15">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row>
    <row r="215" spans="1:79" x14ac:dyDescent="0.15">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row>
    <row r="216" spans="1:79" x14ac:dyDescent="0.15">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row>
    <row r="217" spans="1:79" x14ac:dyDescent="0.15">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row>
    <row r="218" spans="1:79" x14ac:dyDescent="0.15">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row>
    <row r="219" spans="1:79" x14ac:dyDescent="0.15">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row>
    <row r="220" spans="1:79" x14ac:dyDescent="0.15">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row>
    <row r="221" spans="1:79" x14ac:dyDescent="0.15">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row>
    <row r="222" spans="1:79" x14ac:dyDescent="0.15">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row>
    <row r="223" spans="1:79" x14ac:dyDescent="0.15">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row>
    <row r="224" spans="1:79" x14ac:dyDescent="0.15">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row>
    <row r="225" spans="1:79" x14ac:dyDescent="0.15">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row>
    <row r="226" spans="1:79" x14ac:dyDescent="0.15">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row>
    <row r="227" spans="1:79" x14ac:dyDescent="0.15">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row>
    <row r="228" spans="1:79" x14ac:dyDescent="0.15">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row>
    <row r="229" spans="1:79" x14ac:dyDescent="0.15">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row>
    <row r="230" spans="1:79" x14ac:dyDescent="0.15">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row>
    <row r="231" spans="1:79" x14ac:dyDescent="0.15">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row>
    <row r="232" spans="1:79" x14ac:dyDescent="0.15">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row>
    <row r="233" spans="1:79" x14ac:dyDescent="0.15">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row>
    <row r="234" spans="1:79" x14ac:dyDescent="0.15">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row>
    <row r="235" spans="1:79" x14ac:dyDescent="0.15">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row>
    <row r="236" spans="1:79" x14ac:dyDescent="0.15">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row>
    <row r="237" spans="1:79" x14ac:dyDescent="0.15">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row>
    <row r="238" spans="1:79" x14ac:dyDescent="0.15">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row>
    <row r="239" spans="1:79" x14ac:dyDescent="0.15">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row>
    <row r="240" spans="1:79" x14ac:dyDescent="0.15">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row>
    <row r="241" spans="1:79" x14ac:dyDescent="0.15">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row>
    <row r="242" spans="1:79" x14ac:dyDescent="0.15">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row>
    <row r="243" spans="1:79" x14ac:dyDescent="0.15">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row>
    <row r="244" spans="1:79" x14ac:dyDescent="0.15">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row>
    <row r="245" spans="1:79" x14ac:dyDescent="0.15">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row>
    <row r="246" spans="1:79" x14ac:dyDescent="0.15">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row>
    <row r="247" spans="1:79" x14ac:dyDescent="0.15">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row>
    <row r="248" spans="1:79" x14ac:dyDescent="0.15">
      <c r="A248" s="166"/>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row>
    <row r="249" spans="1:79" x14ac:dyDescent="0.15">
      <c r="A249" s="166"/>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row>
    <row r="250" spans="1:79" x14ac:dyDescent="0.15">
      <c r="A250" s="166"/>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row>
    <row r="251" spans="1:79" x14ac:dyDescent="0.15">
      <c r="A251" s="166"/>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row>
    <row r="252" spans="1:79" x14ac:dyDescent="0.15">
      <c r="A252" s="166"/>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row>
  </sheetData>
  <sheetProtection algorithmName="SHA-512" hashValue="fhR+mpaVrN7oOseZ/u9glFelePH1llFlZiKx3M5fOW59guBRSXyf6xHORrfP5o5LuDt33my7vFWJoSrkqPyKMg==" saltValue="UAcnabiMqU08xrRVsL+9zQ==" spinCount="100000" sheet="1" objects="1" scenarios="1" selectLockedCells="1"/>
  <mergeCells count="33">
    <mergeCell ref="Q50:Q52"/>
    <mergeCell ref="D12:F12"/>
    <mergeCell ref="D27:F27"/>
    <mergeCell ref="D42:F42"/>
    <mergeCell ref="H41:L41"/>
    <mergeCell ref="M41:Q41"/>
    <mergeCell ref="H46:L46"/>
    <mergeCell ref="M46:Q46"/>
    <mergeCell ref="J50:J52"/>
    <mergeCell ref="K50:K52"/>
    <mergeCell ref="L50:L52"/>
    <mergeCell ref="O50:O52"/>
    <mergeCell ref="P50:P52"/>
    <mergeCell ref="J35:J37"/>
    <mergeCell ref="K35:K37"/>
    <mergeCell ref="L35:L37"/>
    <mergeCell ref="O35:O37"/>
    <mergeCell ref="P35:P37"/>
    <mergeCell ref="Q35:Q37"/>
    <mergeCell ref="H26:L26"/>
    <mergeCell ref="M26:Q26"/>
    <mergeCell ref="H31:L31"/>
    <mergeCell ref="M31:Q31"/>
    <mergeCell ref="H11:L11"/>
    <mergeCell ref="M11:Q11"/>
    <mergeCell ref="H16:L16"/>
    <mergeCell ref="M16:Q16"/>
    <mergeCell ref="J20:J22"/>
    <mergeCell ref="L20:L22"/>
    <mergeCell ref="K20:K22"/>
    <mergeCell ref="Q20:Q22"/>
    <mergeCell ref="P20:P22"/>
    <mergeCell ref="O20:O2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D153"/>
  <sheetViews>
    <sheetView zoomScale="70" zoomScaleNormal="70" zoomScalePageLayoutView="80" workbookViewId="0">
      <pane xSplit="2" topLeftCell="AB1" activePane="topRight" state="frozen"/>
      <selection pane="topRight"/>
    </sheetView>
  </sheetViews>
  <sheetFormatPr defaultColWidth="8.75" defaultRowHeight="10.5" x14ac:dyDescent="0.15"/>
  <cols>
    <col min="1" max="1" width="4.75" style="19" customWidth="1"/>
    <col min="2" max="2" width="54.125" style="19" bestFit="1" customWidth="1"/>
    <col min="3" max="4" width="9" style="19" customWidth="1"/>
    <col min="5" max="13" width="8.75" style="19"/>
    <col min="14" max="14" width="4.75" style="19" customWidth="1"/>
    <col min="15" max="20" width="8.75" style="19"/>
    <col min="21" max="21" width="4.75" style="19" customWidth="1"/>
    <col min="22" max="25" width="8.75" style="19"/>
    <col min="26" max="26" width="4.75" style="19" customWidth="1"/>
    <col min="27" max="27" width="8.75" style="19"/>
    <col min="28" max="28" width="13.875" style="19" bestFit="1" customWidth="1"/>
    <col min="29" max="29" width="11.375" style="19" bestFit="1" customWidth="1"/>
    <col min="30" max="30" width="8.75" style="19"/>
    <col min="31" max="31" width="12.75" style="19" customWidth="1"/>
    <col min="32" max="32" width="21.75" style="19" bestFit="1" customWidth="1"/>
    <col min="33" max="37" width="8.75" style="19"/>
    <col min="38" max="38" width="4.75" style="19" customWidth="1"/>
    <col min="39" max="69" width="8.75" style="19"/>
    <col min="70" max="70" width="11.125" style="19" customWidth="1"/>
    <col min="71" max="72" width="8.75" style="19"/>
    <col min="73" max="73" width="11.125" style="19" customWidth="1"/>
    <col min="74" max="16384" width="8.75" style="19"/>
  </cols>
  <sheetData>
    <row r="1" spans="1:80" x14ac:dyDescent="0.15">
      <c r="B1" s="17"/>
      <c r="C1" s="17"/>
      <c r="D1" s="17"/>
      <c r="E1" s="17"/>
      <c r="F1" s="17"/>
      <c r="G1" s="17"/>
      <c r="H1" s="17"/>
      <c r="I1" s="17"/>
      <c r="J1" s="17"/>
      <c r="K1" s="17"/>
      <c r="L1" s="17"/>
      <c r="M1" s="17"/>
      <c r="O1" s="17"/>
      <c r="P1" s="17"/>
      <c r="Q1" s="17"/>
      <c r="R1" s="17"/>
      <c r="S1" s="17"/>
      <c r="T1" s="17"/>
      <c r="V1" s="17"/>
      <c r="W1" s="17"/>
      <c r="X1" s="17"/>
      <c r="Y1" s="17"/>
      <c r="AD1" s="17"/>
      <c r="AE1" s="29"/>
      <c r="AF1" s="17"/>
      <c r="AG1" s="17"/>
      <c r="AH1" s="17"/>
      <c r="AI1" s="17"/>
      <c r="AJ1" s="17"/>
      <c r="AK1" s="17"/>
      <c r="AM1" s="17"/>
      <c r="AN1" s="17"/>
      <c r="AO1" s="17"/>
      <c r="AP1" s="17"/>
      <c r="AQ1" s="17"/>
      <c r="AR1" s="17"/>
      <c r="AT1" s="17"/>
      <c r="AU1" s="17"/>
      <c r="AV1" s="17"/>
      <c r="AW1" s="17"/>
      <c r="AX1" s="17"/>
      <c r="AY1" s="17"/>
      <c r="BA1" s="17"/>
      <c r="BB1" s="17"/>
      <c r="BC1" s="17"/>
      <c r="BD1" s="17"/>
      <c r="BE1" s="17"/>
      <c r="BF1" s="17"/>
      <c r="BH1" s="17"/>
      <c r="BI1" s="17">
        <f>SUMIFS(Effektmåling!$J$163:$J$167,Effektmåling!$D$163:$D$167,$B11,$AH$120:$AH$124,BI$3)</f>
        <v>0</v>
      </c>
      <c r="BJ1" s="17"/>
      <c r="BK1" s="17"/>
      <c r="BL1" s="17"/>
      <c r="BM1" s="17"/>
      <c r="BO1" s="29"/>
      <c r="BP1" s="29"/>
      <c r="BQ1" s="29"/>
      <c r="BR1" s="29"/>
      <c r="BS1" s="29"/>
      <c r="BT1" s="29"/>
      <c r="BU1" s="29"/>
      <c r="BV1" s="29"/>
      <c r="BW1" s="29"/>
    </row>
    <row r="2" spans="1:80" ht="33.75" customHeight="1" x14ac:dyDescent="0.15">
      <c r="B2" s="465" t="s">
        <v>24</v>
      </c>
      <c r="C2" s="465" t="s">
        <v>27</v>
      </c>
      <c r="D2" s="465" t="s">
        <v>208</v>
      </c>
      <c r="E2" s="465" t="s">
        <v>209</v>
      </c>
      <c r="F2" s="465" t="s">
        <v>210</v>
      </c>
      <c r="G2" s="465" t="s">
        <v>211</v>
      </c>
      <c r="H2" s="465" t="s">
        <v>212</v>
      </c>
      <c r="I2" s="120" t="s">
        <v>208</v>
      </c>
      <c r="J2" s="465" t="s">
        <v>209</v>
      </c>
      <c r="K2" s="465" t="s">
        <v>210</v>
      </c>
      <c r="L2" s="465" t="s">
        <v>211</v>
      </c>
      <c r="M2" s="465" t="s">
        <v>212</v>
      </c>
      <c r="N2" s="465"/>
      <c r="O2" s="465" t="s">
        <v>219</v>
      </c>
      <c r="P2" s="465" t="s">
        <v>220</v>
      </c>
      <c r="Q2" s="465" t="s">
        <v>221</v>
      </c>
      <c r="R2" s="465" t="s">
        <v>222</v>
      </c>
      <c r="S2" s="465" t="s">
        <v>223</v>
      </c>
      <c r="T2" s="465" t="s">
        <v>224</v>
      </c>
      <c r="V2" s="901" t="s">
        <v>225</v>
      </c>
      <c r="W2" s="901"/>
      <c r="X2" s="901"/>
      <c r="Y2" s="901"/>
      <c r="AA2" s="901" t="s">
        <v>226</v>
      </c>
      <c r="AB2" s="901"/>
      <c r="AC2" s="901"/>
      <c r="AD2" s="901"/>
      <c r="AE2" s="207"/>
      <c r="AF2" s="902" t="s">
        <v>227</v>
      </c>
      <c r="AG2" s="902"/>
      <c r="AH2" s="902"/>
      <c r="AI2" s="902"/>
      <c r="AJ2" s="902"/>
      <c r="AK2" s="902"/>
      <c r="AM2" s="902" t="s">
        <v>228</v>
      </c>
      <c r="AN2" s="902"/>
      <c r="AO2" s="902"/>
      <c r="AP2" s="902"/>
      <c r="AQ2" s="902"/>
      <c r="AR2" s="902"/>
      <c r="AT2" s="463" t="s">
        <v>219</v>
      </c>
      <c r="AU2" s="463" t="s">
        <v>220</v>
      </c>
      <c r="AV2" s="463" t="s">
        <v>221</v>
      </c>
      <c r="AW2" s="463" t="s">
        <v>222</v>
      </c>
      <c r="AX2" s="463" t="s">
        <v>223</v>
      </c>
      <c r="AY2" s="463" t="s">
        <v>224</v>
      </c>
      <c r="BA2" s="902" t="s">
        <v>227</v>
      </c>
      <c r="BB2" s="902"/>
      <c r="BC2" s="902"/>
      <c r="BD2" s="902"/>
      <c r="BE2" s="902"/>
      <c r="BF2" s="902"/>
      <c r="BH2" s="902" t="s">
        <v>229</v>
      </c>
      <c r="BI2" s="902"/>
      <c r="BJ2" s="902"/>
      <c r="BK2" s="902"/>
      <c r="BL2" s="902"/>
      <c r="BM2" s="902"/>
      <c r="BO2" s="120" t="s">
        <v>230</v>
      </c>
      <c r="BP2" s="208" t="str">
        <f>B2</f>
        <v>Materialer</v>
      </c>
      <c r="BQ2" s="208" t="s">
        <v>231</v>
      </c>
      <c r="BR2" s="208" t="s">
        <v>230</v>
      </c>
      <c r="BS2" s="208" t="s">
        <v>232</v>
      </c>
      <c r="BT2" s="208" t="s">
        <v>233</v>
      </c>
      <c r="BU2" s="208" t="s">
        <v>234</v>
      </c>
      <c r="BV2" s="120" t="s">
        <v>191</v>
      </c>
      <c r="BW2" s="209" t="s">
        <v>25</v>
      </c>
    </row>
    <row r="3" spans="1:80" ht="10.5" customHeight="1" x14ac:dyDescent="0.15">
      <c r="B3" s="465"/>
      <c r="C3" s="465"/>
      <c r="D3" s="465"/>
      <c r="E3" s="465"/>
      <c r="F3" s="465"/>
      <c r="G3" s="465"/>
      <c r="H3" s="465"/>
      <c r="I3" s="121"/>
      <c r="J3" s="465"/>
      <c r="K3" s="465"/>
      <c r="L3" s="465"/>
      <c r="M3" s="465"/>
      <c r="N3" s="465"/>
      <c r="O3" s="35">
        <v>6</v>
      </c>
      <c r="P3" s="35">
        <v>5</v>
      </c>
      <c r="Q3" s="35">
        <v>4</v>
      </c>
      <c r="R3" s="35">
        <v>3</v>
      </c>
      <c r="S3" s="35">
        <v>2</v>
      </c>
      <c r="T3" s="35">
        <v>1</v>
      </c>
      <c r="V3" s="463"/>
      <c r="W3" s="463"/>
      <c r="X3" s="463"/>
      <c r="Y3" s="463"/>
      <c r="AA3" s="463"/>
      <c r="AB3" s="463"/>
      <c r="AC3" s="463"/>
      <c r="AD3" s="463"/>
      <c r="AE3" s="207"/>
      <c r="AF3" s="38">
        <f t="shared" ref="AF3:AK3" si="0">O3</f>
        <v>6</v>
      </c>
      <c r="AG3" s="38">
        <f t="shared" si="0"/>
        <v>5</v>
      </c>
      <c r="AH3" s="38">
        <f t="shared" si="0"/>
        <v>4</v>
      </c>
      <c r="AI3" s="38">
        <f t="shared" si="0"/>
        <v>3</v>
      </c>
      <c r="AJ3" s="38">
        <f t="shared" si="0"/>
        <v>2</v>
      </c>
      <c r="AK3" s="38">
        <f t="shared" si="0"/>
        <v>1</v>
      </c>
      <c r="AM3" s="38">
        <f t="shared" ref="AM3:AR3" si="1">O3</f>
        <v>6</v>
      </c>
      <c r="AN3" s="38">
        <f t="shared" si="1"/>
        <v>5</v>
      </c>
      <c r="AO3" s="38">
        <f t="shared" si="1"/>
        <v>4</v>
      </c>
      <c r="AP3" s="38">
        <f t="shared" si="1"/>
        <v>3</v>
      </c>
      <c r="AQ3" s="38">
        <f t="shared" si="1"/>
        <v>2</v>
      </c>
      <c r="AR3" s="38">
        <f t="shared" si="1"/>
        <v>1</v>
      </c>
      <c r="AT3" s="38">
        <v>6</v>
      </c>
      <c r="AU3" s="38">
        <v>5</v>
      </c>
      <c r="AV3" s="38">
        <v>4</v>
      </c>
      <c r="AW3" s="38">
        <v>3</v>
      </c>
      <c r="AX3" s="38">
        <v>2</v>
      </c>
      <c r="AY3" s="38">
        <v>1</v>
      </c>
      <c r="BA3" s="38">
        <f t="shared" ref="BA3:BF3" si="2">O3</f>
        <v>6</v>
      </c>
      <c r="BB3" s="38">
        <f t="shared" si="2"/>
        <v>5</v>
      </c>
      <c r="BC3" s="38">
        <f t="shared" si="2"/>
        <v>4</v>
      </c>
      <c r="BD3" s="38">
        <f t="shared" si="2"/>
        <v>3</v>
      </c>
      <c r="BE3" s="38">
        <f t="shared" si="2"/>
        <v>2</v>
      </c>
      <c r="BF3" s="38">
        <f t="shared" si="2"/>
        <v>1</v>
      </c>
      <c r="BH3" s="38">
        <f t="shared" ref="BH3:BM3" si="3">O3</f>
        <v>6</v>
      </c>
      <c r="BI3" s="38">
        <f t="shared" si="3"/>
        <v>5</v>
      </c>
      <c r="BJ3" s="38">
        <f t="shared" si="3"/>
        <v>4</v>
      </c>
      <c r="BK3" s="38">
        <f t="shared" si="3"/>
        <v>3</v>
      </c>
      <c r="BL3" s="38">
        <f t="shared" si="3"/>
        <v>2</v>
      </c>
      <c r="BM3" s="38">
        <f t="shared" si="3"/>
        <v>1</v>
      </c>
      <c r="BO3" s="121"/>
      <c r="BP3" s="207"/>
      <c r="BQ3" s="207" t="s">
        <v>235</v>
      </c>
      <c r="BR3" s="207"/>
      <c r="BS3" s="207"/>
      <c r="BT3" s="207"/>
      <c r="BU3" s="207"/>
      <c r="BV3" s="121"/>
      <c r="BW3" s="210"/>
    </row>
    <row r="4" spans="1:80" ht="12" x14ac:dyDescent="0.2">
      <c r="B4" s="17"/>
      <c r="C4" s="28" t="s">
        <v>236</v>
      </c>
      <c r="D4" s="28" t="s">
        <v>237</v>
      </c>
      <c r="E4" s="28" t="s">
        <v>237</v>
      </c>
      <c r="F4" s="28" t="s">
        <v>237</v>
      </c>
      <c r="G4" s="28" t="s">
        <v>237</v>
      </c>
      <c r="H4" s="28" t="s">
        <v>237</v>
      </c>
      <c r="I4" s="122" t="s">
        <v>238</v>
      </c>
      <c r="J4" s="28" t="s">
        <v>238</v>
      </c>
      <c r="K4" s="28" t="s">
        <v>238</v>
      </c>
      <c r="L4" s="28" t="s">
        <v>238</v>
      </c>
      <c r="M4" s="28" t="s">
        <v>238</v>
      </c>
      <c r="O4" s="28" t="s">
        <v>239</v>
      </c>
      <c r="P4" s="28" t="s">
        <v>239</v>
      </c>
      <c r="Q4" s="28" t="s">
        <v>239</v>
      </c>
      <c r="R4" s="28" t="s">
        <v>239</v>
      </c>
      <c r="S4" s="28" t="s">
        <v>239</v>
      </c>
      <c r="T4" s="28" t="s">
        <v>239</v>
      </c>
      <c r="V4" s="17" t="s">
        <v>240</v>
      </c>
      <c r="W4" s="17" t="s">
        <v>241</v>
      </c>
      <c r="X4" s="17" t="s">
        <v>242</v>
      </c>
      <c r="Y4" s="17" t="s">
        <v>243</v>
      </c>
      <c r="AA4" s="17" t="s">
        <v>240</v>
      </c>
      <c r="AB4" s="17" t="s">
        <v>241</v>
      </c>
      <c r="AC4" s="17" t="s">
        <v>242</v>
      </c>
      <c r="AD4" s="17" t="s">
        <v>243</v>
      </c>
      <c r="AE4" s="29"/>
      <c r="AF4" s="17" t="s">
        <v>241</v>
      </c>
      <c r="AG4" s="17"/>
      <c r="AH4" s="17"/>
      <c r="AI4" s="17"/>
      <c r="AJ4" s="17"/>
      <c r="AK4" s="17"/>
      <c r="AM4" s="17" t="s">
        <v>241</v>
      </c>
      <c r="AN4" s="17"/>
      <c r="AO4" s="17"/>
      <c r="AP4" s="17"/>
      <c r="AQ4" s="17"/>
      <c r="AR4" s="17"/>
      <c r="AT4" s="28" t="s">
        <v>238</v>
      </c>
      <c r="AU4" s="28" t="s">
        <v>238</v>
      </c>
      <c r="AV4" s="28" t="s">
        <v>238</v>
      </c>
      <c r="AW4" s="28" t="s">
        <v>238</v>
      </c>
      <c r="AX4" s="28" t="s">
        <v>238</v>
      </c>
      <c r="AY4" s="28" t="s">
        <v>238</v>
      </c>
      <c r="BA4" s="17" t="s">
        <v>243</v>
      </c>
      <c r="BB4" s="17"/>
      <c r="BC4" s="17"/>
      <c r="BD4" s="17"/>
      <c r="BE4" s="17"/>
      <c r="BF4" s="17"/>
      <c r="BH4" s="17" t="s">
        <v>243</v>
      </c>
      <c r="BI4" s="17"/>
      <c r="BJ4" s="17"/>
      <c r="BK4" s="17"/>
      <c r="BL4" s="17"/>
      <c r="BM4" s="17"/>
      <c r="BO4" s="211"/>
      <c r="BP4" s="207"/>
      <c r="BQ4" s="234">
        <v>0</v>
      </c>
      <c r="BR4" s="29"/>
      <c r="BS4" s="29"/>
      <c r="BT4" s="29"/>
      <c r="BU4" s="29"/>
      <c r="BV4" s="211"/>
      <c r="BW4" s="212"/>
    </row>
    <row r="5" spans="1:80" x14ac:dyDescent="0.15">
      <c r="A5" s="19">
        <f>A4+1</f>
        <v>1</v>
      </c>
      <c r="B5" s="29" t="s">
        <v>244</v>
      </c>
      <c r="C5" s="32" t="s">
        <v>245</v>
      </c>
      <c r="D5" s="32" t="s">
        <v>245</v>
      </c>
      <c r="E5" s="32" t="s">
        <v>245</v>
      </c>
      <c r="F5" s="32" t="s">
        <v>245</v>
      </c>
      <c r="G5" s="32" t="s">
        <v>245</v>
      </c>
      <c r="H5" s="32" t="s">
        <v>245</v>
      </c>
      <c r="I5" s="137" t="s">
        <v>245</v>
      </c>
      <c r="J5" s="32" t="s">
        <v>245</v>
      </c>
      <c r="K5" s="32" t="s">
        <v>245</v>
      </c>
      <c r="L5" s="32" t="s">
        <v>245</v>
      </c>
      <c r="M5" s="32" t="s">
        <v>245</v>
      </c>
      <c r="O5" s="44" t="s">
        <v>245</v>
      </c>
      <c r="P5" s="44" t="s">
        <v>245</v>
      </c>
      <c r="Q5" s="44" t="s">
        <v>245</v>
      </c>
      <c r="R5" s="44" t="s">
        <v>245</v>
      </c>
      <c r="S5" s="44" t="s">
        <v>245</v>
      </c>
      <c r="T5" s="44" t="s">
        <v>245</v>
      </c>
      <c r="V5" s="44"/>
      <c r="W5" s="43"/>
      <c r="X5" s="44"/>
      <c r="Y5" s="44"/>
      <c r="AA5" s="44"/>
      <c r="AB5" s="43"/>
      <c r="AC5" s="44"/>
      <c r="AD5" s="44"/>
      <c r="AE5" s="44"/>
      <c r="AF5" s="45"/>
      <c r="AG5" s="45"/>
      <c r="AH5" s="45"/>
      <c r="AI5" s="45"/>
      <c r="AJ5" s="45"/>
      <c r="AK5" s="45"/>
      <c r="AM5" s="45"/>
      <c r="AN5" s="45"/>
      <c r="AO5" s="45"/>
      <c r="AP5" s="45"/>
      <c r="AQ5" s="45"/>
      <c r="AR5" s="45"/>
      <c r="AT5" s="44" t="s">
        <v>245</v>
      </c>
      <c r="AU5" s="44" t="s">
        <v>245</v>
      </c>
      <c r="AV5" s="44" t="s">
        <v>245</v>
      </c>
      <c r="AW5" s="44" t="s">
        <v>245</v>
      </c>
      <c r="AX5" s="44" t="s">
        <v>245</v>
      </c>
      <c r="AY5" s="44" t="s">
        <v>245</v>
      </c>
      <c r="BA5" s="46"/>
      <c r="BB5" s="46"/>
      <c r="BC5" s="46"/>
      <c r="BD5" s="46"/>
      <c r="BE5" s="46"/>
      <c r="BF5" s="46"/>
      <c r="BH5" s="46"/>
      <c r="BI5" s="46"/>
      <c r="BJ5" s="46"/>
      <c r="BK5" s="46"/>
      <c r="BL5" s="46"/>
      <c r="BM5" s="46"/>
      <c r="BO5" s="213"/>
      <c r="BP5" s="207" t="str">
        <f t="shared" ref="BP5:BP36" si="4">B5</f>
        <v>(tom)</v>
      </c>
      <c r="BQ5" s="44"/>
      <c r="BR5" s="44"/>
      <c r="BS5" s="44"/>
      <c r="BT5" s="44"/>
      <c r="BU5" s="44"/>
      <c r="BV5" s="213"/>
      <c r="BW5" s="214"/>
      <c r="BY5" s="905" t="s">
        <v>246</v>
      </c>
      <c r="BZ5" s="905"/>
      <c r="CA5" s="19" t="s">
        <v>247</v>
      </c>
    </row>
    <row r="6" spans="1:80" ht="10.5" customHeight="1" x14ac:dyDescent="0.15">
      <c r="A6" s="19">
        <f>A5+1</f>
        <v>2</v>
      </c>
      <c r="B6" s="19" t="s">
        <v>248</v>
      </c>
      <c r="C6" s="32" t="s">
        <v>245</v>
      </c>
      <c r="D6" s="32" t="s">
        <v>245</v>
      </c>
      <c r="E6" s="32" t="s">
        <v>245</v>
      </c>
      <c r="F6" s="32" t="s">
        <v>245</v>
      </c>
      <c r="G6" s="32" t="s">
        <v>245</v>
      </c>
      <c r="H6" s="32" t="s">
        <v>245</v>
      </c>
      <c r="I6" s="123" t="s">
        <v>245</v>
      </c>
      <c r="J6" s="32" t="s">
        <v>245</v>
      </c>
      <c r="K6" s="32" t="s">
        <v>245</v>
      </c>
      <c r="L6" s="32" t="s">
        <v>245</v>
      </c>
      <c r="M6" s="32" t="s">
        <v>245</v>
      </c>
      <c r="O6" s="44" t="s">
        <v>245</v>
      </c>
      <c r="P6" s="44" t="s">
        <v>245</v>
      </c>
      <c r="Q6" s="44" t="s">
        <v>245</v>
      </c>
      <c r="R6" s="44" t="s">
        <v>245</v>
      </c>
      <c r="S6" s="44" t="s">
        <v>245</v>
      </c>
      <c r="T6" s="44" t="s">
        <v>245</v>
      </c>
      <c r="U6" s="29"/>
      <c r="V6" s="44"/>
      <c r="W6" s="44"/>
      <c r="X6" s="45"/>
      <c r="Y6" s="45"/>
      <c r="Z6" s="29"/>
      <c r="AA6" s="44"/>
      <c r="AB6" s="44"/>
      <c r="AC6" s="45"/>
      <c r="AD6" s="45"/>
      <c r="AE6" s="45"/>
      <c r="AF6" s="45"/>
      <c r="AG6" s="45"/>
      <c r="AH6" s="45"/>
      <c r="AI6" s="45"/>
      <c r="AJ6" s="45"/>
      <c r="AK6" s="45"/>
      <c r="AM6" s="45"/>
      <c r="AN6" s="45"/>
      <c r="AO6" s="45"/>
      <c r="AP6" s="45"/>
      <c r="AQ6" s="45"/>
      <c r="AR6" s="45"/>
      <c r="AT6" s="44" t="s">
        <v>245</v>
      </c>
      <c r="AU6" s="44" t="s">
        <v>245</v>
      </c>
      <c r="AV6" s="44" t="s">
        <v>245</v>
      </c>
      <c r="AW6" s="44" t="s">
        <v>245</v>
      </c>
      <c r="AX6" s="44" t="s">
        <v>245</v>
      </c>
      <c r="AY6" s="44" t="s">
        <v>245</v>
      </c>
      <c r="BA6" s="46"/>
      <c r="BB6" s="46"/>
      <c r="BC6" s="46"/>
      <c r="BD6" s="46"/>
      <c r="BE6" s="46"/>
      <c r="BF6" s="46"/>
      <c r="BH6" s="46"/>
      <c r="BI6" s="46"/>
      <c r="BJ6" s="46"/>
      <c r="BK6" s="46"/>
      <c r="BL6" s="46"/>
      <c r="BM6" s="46"/>
      <c r="BO6" s="215"/>
      <c r="BP6" s="207" t="str">
        <f t="shared" si="4"/>
        <v>-METALLER-</v>
      </c>
      <c r="BQ6" s="45"/>
      <c r="BR6" s="45"/>
      <c r="BS6" s="45"/>
      <c r="BT6" s="45"/>
      <c r="BU6" s="45"/>
      <c r="BV6" s="215"/>
      <c r="BW6" s="216"/>
    </row>
    <row r="7" spans="1:80" ht="10.35" customHeight="1" x14ac:dyDescent="0.15">
      <c r="A7" s="19">
        <f t="shared" ref="A7:A57" si="5">A6+1</f>
        <v>3</v>
      </c>
      <c r="B7" s="19" t="s">
        <v>249</v>
      </c>
      <c r="C7" s="19">
        <v>1</v>
      </c>
      <c r="D7" s="22">
        <v>13.1373</v>
      </c>
      <c r="E7" s="22">
        <v>1.7000000000000001E-2</v>
      </c>
      <c r="F7" s="22">
        <v>6.2E-2</v>
      </c>
      <c r="G7" s="99">
        <v>0.44290000000000002</v>
      </c>
      <c r="H7" s="119">
        <v>0</v>
      </c>
      <c r="I7" s="124">
        <v>15.25555147992438</v>
      </c>
      <c r="J7" s="119">
        <v>0</v>
      </c>
      <c r="K7" s="74">
        <v>0</v>
      </c>
      <c r="L7" s="130">
        <v>0.64719121296174964</v>
      </c>
      <c r="M7" s="74">
        <v>0</v>
      </c>
      <c r="O7" s="485">
        <f>F7-E7</f>
        <v>4.4999999999999998E-2</v>
      </c>
      <c r="P7" s="142">
        <f>G7-E7</f>
        <v>0.4259</v>
      </c>
      <c r="Q7" s="142">
        <f>H7-E7</f>
        <v>-1.7000000000000001E-2</v>
      </c>
      <c r="R7" s="142">
        <f>G7-F7</f>
        <v>0.38090000000000002</v>
      </c>
      <c r="S7" s="142">
        <f>H7-F7</f>
        <v>-6.2E-2</v>
      </c>
      <c r="T7" s="142">
        <f>H7-G7</f>
        <v>-0.44290000000000002</v>
      </c>
      <c r="U7" s="29"/>
      <c r="V7" s="29">
        <f ca="1">SUMIF(Effektmåling!$D$53:$E$57,'DB materialer'!B7,Effektmåling!$H$53:$H$57)</f>
        <v>0</v>
      </c>
      <c r="W7" s="477" t="str">
        <f ca="1">IF((V7*D7)=0,"",IF(Effektmåling!$Q$241="Ja",1.3*(V7*D7),V7*D7))</f>
        <v/>
      </c>
      <c r="X7" s="29" t="str">
        <f ca="1">IF(W7="","",RANK(W7,$W$7:$W$56,0)+COUNTIF($W$7:W7,W7)-1)</f>
        <v/>
      </c>
      <c r="Y7" s="29" t="str">
        <f t="shared" ref="Y7:Y14" ca="1" si="6">IF((V7*I7)=0,"",V7*I7)</f>
        <v/>
      </c>
      <c r="Z7" s="29"/>
      <c r="AA7" s="29">
        <f ca="1">$C$122*SUMIF(Effektmåling!$D$128:$E$132,'DB materialer'!$B7,Effektmåling!$I$128:$I$132)</f>
        <v>0</v>
      </c>
      <c r="AB7" s="30" t="str">
        <f ca="1">IF((AA7*D7)=0,"",IF(Effektmåling!$Q$241="Ja",1.3*(AA7*D7),AA7*D7))</f>
        <v/>
      </c>
      <c r="AC7" s="29" t="str">
        <f ca="1">IF(AB7="","",RANK(AB7,$AB$7:$AB$56,0)+COUNTIF($AB$7:AB7,AB7)-1)</f>
        <v/>
      </c>
      <c r="AD7" s="29" t="str">
        <f t="shared" ref="AD7:AD14" ca="1" si="7">IF((AA7*I7)=0,"",AA7*I7)</f>
        <v/>
      </c>
      <c r="AE7" s="29"/>
      <c r="AF7" s="29" t="str">
        <f>IF((SUMIFS(Effektmåling!$J$178:$J$182,Effektmåling!$D$178:$D$182,$B7,$AH$120:$AH$124,'DB materialer'!AF$3))&lt;&gt;0,(SUMIFS(Effektmåling!$J$178:$J$182,Effektmåling!$D$178:$D$182,$B7,$AH$120:$AH$124,'DB materialer'!AF$3))*-O7,"")</f>
        <v/>
      </c>
      <c r="AG7" s="29" t="str">
        <f>IF((SUMIFS(Effektmåling!$J$178:$J$182,Effektmåling!$D$178:$D$182,$B7,$AH$120:$AH$124,'DB materialer'!AG$3))&lt;&gt;0,(SUMIFS(Effektmåling!$J$178:$J$182,Effektmåling!$D$178:$D$182,$B7,$AH$120:$AH$124,'DB materialer'!AG$3))*-P7,"")</f>
        <v/>
      </c>
      <c r="AH7" s="29" t="str">
        <f>IF((SUMIFS(Effektmåling!$J$178:$J$182,Effektmåling!$D$178:$D$182,$B7,$AH$120:$AH$124,'DB materialer'!AH$3))&lt;&gt;0,(SUMIFS(Effektmåling!$J$178:$J$182,Effektmåling!$D$178:$D$182,$B7,$AH$120:$AH$124,'DB materialer'!AH$3))*-Q7,"")</f>
        <v/>
      </c>
      <c r="AI7" s="29" t="str">
        <f>IF((SUMIFS(Effektmåling!$J$178:$J$182,Effektmåling!$D$178:$D$182,$B7,$AH$120:$AH$124,'DB materialer'!AI$3))&lt;&gt;0,(SUMIFS(Effektmåling!$J$178:$J$182,Effektmåling!$D$178:$D$182,$B7,$AH$120:$AH$124,'DB materialer'!AI$3))*-R7,"")</f>
        <v/>
      </c>
      <c r="AJ7" s="29" t="str">
        <f>IF((SUMIFS(Effektmåling!$J$178:$J$182,Effektmåling!$D$178:$D$182,$B7,$AH$120:$AH$124,'DB materialer'!AJ$3))&lt;&gt;0,(SUMIFS(Effektmåling!$J$178:$J$182,Effektmåling!$D$178:$D$182,$B7,$AH$120:$AH$124,'DB materialer'!AJ$3))*-S7,"")</f>
        <v/>
      </c>
      <c r="AK7" s="29" t="str">
        <f>IF((SUMIFS(Effektmåling!$J$178:$J$182,Effektmåling!$D$178:$D$182,$B7,$AH$120:$AH$124,'DB materialer'!AK$3))&lt;&gt;0,(SUMIFS(Effektmåling!$J$178:$J$182,Effektmåling!$D$178:$D$182,$B7,$AH$120:$AH$124,'DB materialer'!AK$3))*-T7,"")</f>
        <v/>
      </c>
      <c r="AM7" s="29" t="str">
        <f>IF((SUMIFS(Effektmåling!$J$163:$J$167,Effektmåling!$D$163:$D$167,$B7,$AO$120:$AO$124,'DB materialer'!AM$3))&lt;&gt;0,(SUMIFS(Effektmåling!$J$163:$J$167,Effektmåling!$D$163:$D$167,$B7,$AO$120:$AO$124,'DB materialer'!AM$3))*(-O7)*($C$122),"")</f>
        <v/>
      </c>
      <c r="AN7" s="29" t="str">
        <f>IF((SUMIFS(Effektmåling!$J$163:$J$167,Effektmåling!$D$163:$D$167,$B7,$AO$120:$AO$124,'DB materialer'!AN$3))&lt;&gt;0,(SUMIFS(Effektmåling!$J$163:$J$167,Effektmåling!$D$163:$D$167,$B7,$AO$120:$AO$124,'DB materialer'!AN$3))*(-P7)*($C$122),"")</f>
        <v/>
      </c>
      <c r="AO7" s="29" t="str">
        <f>IF((SUMIFS(Effektmåling!$J$163:$J$167,Effektmåling!$D$163:$D$167,$B7,$AO$120:$AO$124,'DB materialer'!AO$3))&lt;&gt;0,(SUMIFS(Effektmåling!$J$163:$J$167,Effektmåling!$D$163:$D$167,$B7,$AO$120:$AO$124,'DB materialer'!AO$3))*(-Q7)*($C$122),"")</f>
        <v/>
      </c>
      <c r="AP7" s="29" t="str">
        <f>IF((SUMIFS(Effektmåling!$J$163:$J$167,Effektmåling!$D$163:$D$167,$B7,$AO$120:$AO$124,'DB materialer'!AP$3))&lt;&gt;0,(SUMIFS(Effektmåling!$J$163:$J$167,Effektmåling!$D$163:$D$167,$B7,$AO$120:$AO$124,'DB materialer'!AP$3))*(-R7)*($C$122),"")</f>
        <v/>
      </c>
      <c r="AQ7" s="29" t="str">
        <f>IF((SUMIFS(Effektmåling!$J$163:$J$167,Effektmåling!$D$163:$D$167,$B7,$AO$120:$AO$124,'DB materialer'!AQ$3))&lt;&gt;0,(SUMIFS(Effektmåling!$J$163:$J$167,Effektmåling!$D$163:$D$167,$B7,$AO$120:$AO$124,'DB materialer'!AQ$3))*(-S7)*($C$122),"")</f>
        <v/>
      </c>
      <c r="AR7" s="29" t="str">
        <f>IF((SUMIFS(Effektmåling!$J$163:$J$167,Effektmåling!$D$163:$D$167,$B7,$AO$120:$AO$124,'DB materialer'!AR$3))&lt;&gt;0,(SUMIFS(Effektmåling!$J$163:$J$167,Effektmåling!$D$163:$D$167,$B7,$AO$120:$AO$124,'DB materialer'!AR$3))*(-T7)*($C$122),"")</f>
        <v/>
      </c>
      <c r="AT7" s="30">
        <f t="shared" ref="AT7:AT14" si="8">IF((K7-J7)=0,1E-30,K7-J7)</f>
        <v>1.0000000000000001E-30</v>
      </c>
      <c r="AU7" s="40">
        <f t="shared" ref="AU7:AU14" si="9">IF((L7-J7)=0,1E-30,L7-J7)</f>
        <v>0.64719121296174964</v>
      </c>
      <c r="AV7" s="41">
        <f t="shared" ref="AV7:AV14" si="10">IF((M7-J7)=0,1E-30,M7-J7)</f>
        <v>1.0000000000000001E-30</v>
      </c>
      <c r="AW7" s="40">
        <f t="shared" ref="AW7:AW14" si="11">IF((L7-K7)=0,1E-30,L7-K7)</f>
        <v>0.64719121296174964</v>
      </c>
      <c r="AX7" s="41">
        <f t="shared" ref="AX7:AX14" si="12">IF((M7-K7)=0,1E-30,M7-K7)</f>
        <v>1.0000000000000001E-30</v>
      </c>
      <c r="AY7" s="41">
        <f t="shared" ref="AY7:AY14" si="13">IF((M7-L7)=0,1E-30,M7-L7)</f>
        <v>-0.64719121296174964</v>
      </c>
      <c r="BA7" s="29" t="str">
        <f>IF((SUMIFS(Effektmåling!$J$178:$J$182,Effektmåling!$D$178:$D$182,$B7,$AH$120:$AH$124,BA$3))&lt;&gt;0,(SUMIFS(Effektmåling!$J$178:$J$182,Effektmåling!$D$178:$D$182,$B7,$AH$120:$AH$124,BA$3))*-AT7,"")</f>
        <v/>
      </c>
      <c r="BB7" s="29" t="str">
        <f>IF((SUMIFS(Effektmåling!$J$178:$J$182,Effektmåling!$D$178:$D$182,$B7,$AH$120:$AH$124,BB$3))&lt;&gt;0,(SUMIFS(Effektmåling!$J$178:$J$182,Effektmåling!$D$178:$D$182,$B7,$AH$120:$AH$124,BB$3))*-AU7,"")</f>
        <v/>
      </c>
      <c r="BC7" s="29" t="str">
        <f>IF((SUMIFS(Effektmåling!$J$178:$J$182,Effektmåling!$D$178:$D$182,$B7,$AH$120:$AH$124,BC$3))&lt;&gt;0,(SUMIFS(Effektmåling!$J$178:$J$182,Effektmåling!$D$178:$D$182,$B7,$AH$120:$AH$124,BC$3))*-AV7,"")</f>
        <v/>
      </c>
      <c r="BD7" s="29" t="str">
        <f>IF((SUMIFS(Effektmåling!$J$178:$J$182,Effektmåling!$D$178:$D$182,$B7,$AH$120:$AH$124,BD$3))&lt;&gt;0,(SUMIFS(Effektmåling!$J$178:$J$182,Effektmåling!$D$178:$D$182,$B7,$AH$120:$AH$124,BD$3))*-AW7,"")</f>
        <v/>
      </c>
      <c r="BE7" s="29" t="str">
        <f>IF((SUMIFS(Effektmåling!$J$178:$J$182,Effektmåling!$D$178:$D$182,$B7,$AH$120:$AH$124,BE$3))&lt;&gt;0,(SUMIFS(Effektmåling!$J$178:$J$182,Effektmåling!$D$178:$D$182,$B7,$AH$120:$AH$124,BE$3))*-AX7,"")</f>
        <v/>
      </c>
      <c r="BF7" s="29" t="str">
        <f>IF((SUMIFS(Effektmåling!$J$178:$J$182,Effektmåling!$D$178:$D$182,$B7,$AH$120:$AH$124,BF$3))&lt;&gt;0,(SUMIFS(Effektmåling!$J$178:$J$182,Effektmåling!$D$178:$D$182,$B7,$AH$120:$AH$124,BF$3))*-AY7,"")</f>
        <v/>
      </c>
      <c r="BH7" s="29" t="str">
        <f>IF((SUMIFS(Effektmåling!$J$163:$J$167,Effektmåling!$D$163:$D$167,$B7,$AO$120:$AO$124,BH$3))&lt;&gt;0,(SUMIFS(Effektmåling!$J$163:$J$167,Effektmåling!$D$163:$D$167,$B7,$AO$120:$AO$124,BH$3))*-AT7,"")</f>
        <v/>
      </c>
      <c r="BI7" s="29" t="str">
        <f>IF((SUMIFS(Effektmåling!$J$163:$J$167,Effektmåling!$D$163:$D$167,$B7,$AO$120:$AO$124,BI$3))&lt;&gt;0,(SUMIFS(Effektmåling!$J$163:$J$167,Effektmåling!$D$163:$D$167,$B7,$AO$120:$AO$124,BI$3))*-AU7,"")</f>
        <v/>
      </c>
      <c r="BJ7" s="29" t="str">
        <f>IF((SUMIFS(Effektmåling!$J$163:$J$167,Effektmåling!$D$163:$D$167,$B7,$AO$120:$AO$124,BJ$3))&lt;&gt;0,(SUMIFS(Effektmåling!$J$163:$J$167,Effektmåling!$D$163:$D$167,$B7,$AO$120:$AO$124,BJ$3))*-AV7,"")</f>
        <v/>
      </c>
      <c r="BK7" s="29" t="str">
        <f>IF((SUMIFS(Effektmåling!$J$163:$J$167,Effektmåling!$D$163:$D$167,$B7,$AO$120:$AO$124,BK$3))&lt;&gt;0,(SUMIFS(Effektmåling!$J$163:$J$167,Effektmåling!$D$163:$D$167,$B7,$AO$120:$AO$124,BK$3))*-AW7,"")</f>
        <v/>
      </c>
      <c r="BL7" s="144" t="str">
        <f>IF((SUMIFS(Effektmåling!$J$163:$J$167,Effektmåling!$D$163:$D$167,$B7,$AO$120:$AO$124,BL$3))&lt;&gt;0,(SUMIFS(Effektmåling!$J$163:$J$167,Effektmåling!$D$163:$D$167,$B7,$AO$120:$AO$124,BL$3))*-AX7,"")</f>
        <v/>
      </c>
      <c r="BM7" s="29" t="str">
        <f>IF((SUMIFS(Effektmåling!$J$163:$J$167,Effektmåling!$D$163:$D$167,$B7,$AO$120:$AO$124,BM$3))&lt;&gt;0,(SUMIFS(Effektmåling!$J$163:$J$167,Effektmåling!$D$163:$D$167,$B7,$AO$120:$AO$124,BM$3))*-AY7,"")</f>
        <v/>
      </c>
      <c r="BO7" s="211">
        <f ca="1">BR7</f>
        <v>100000</v>
      </c>
      <c r="BP7" s="207" t="str">
        <f t="shared" si="4"/>
        <v>Aluminium</v>
      </c>
      <c r="BQ7" s="29">
        <f ca="1">V7+AA7+(1-$BQ$4)*SUMIF($BY$7:$BY$11,BP7,$BZ$7:$BZ$11)+(1-$BQ$4)*SUMIF($CA$7:$CA$11,BP7,$CB$7:$CB$11)</f>
        <v>0</v>
      </c>
      <c r="BR7" s="29">
        <f t="shared" ref="BR7:BR38" ca="1" si="14">IF(BQ7=0,100000,RANK(BQ7,$BQ$7:$BQ$56,0)+COUNTIF($BQ$7:$BQ$56,BQ7)-1)</f>
        <v>100000</v>
      </c>
      <c r="BS7" s="29">
        <f>BS6+1</f>
        <v>1</v>
      </c>
      <c r="BT7" s="29">
        <f t="shared" ref="BT7:BT16" ca="1" si="15">SMALL($BO$7:$BO$56,BS7)</f>
        <v>100000</v>
      </c>
      <c r="BU7" s="29">
        <f t="shared" ref="BU7:BU16" ca="1" si="16">IF(BT7&lt;1000,BT7,0)</f>
        <v>0</v>
      </c>
      <c r="BV7" s="211">
        <f ca="1">IF(BU7&gt;0,VLOOKUP(BU7,$BO$7:$BQ$56,2,FALSE),0)</f>
        <v>0</v>
      </c>
      <c r="BW7" s="212">
        <f t="shared" ref="BW7:BW16" ca="1" si="17">IF(BU7&gt;0,VLOOKUP(BU7,$BO$7:$BQ$56,3,FALSE),0)</f>
        <v>0</v>
      </c>
      <c r="BY7" s="19" t="e">
        <f>AD120</f>
        <v>#N/A</v>
      </c>
      <c r="BZ7" s="19" t="e">
        <f>AE120</f>
        <v>#N/A</v>
      </c>
      <c r="CA7" s="19" t="e">
        <f>AS120</f>
        <v>#N/A</v>
      </c>
      <c r="CB7" s="19" t="e">
        <f>AT120</f>
        <v>#N/A</v>
      </c>
    </row>
    <row r="8" spans="1:80" x14ac:dyDescent="0.15">
      <c r="A8" s="19">
        <f t="shared" si="5"/>
        <v>4</v>
      </c>
      <c r="B8" s="19" t="s">
        <v>250</v>
      </c>
      <c r="C8" s="19">
        <v>1</v>
      </c>
      <c r="D8" s="100">
        <v>4.399</v>
      </c>
      <c r="E8" s="24">
        <v>1.7000000000000001E-2</v>
      </c>
      <c r="F8" s="24">
        <v>6.2E-2</v>
      </c>
      <c r="G8" s="107">
        <v>1.53965</v>
      </c>
      <c r="H8" s="119">
        <v>0</v>
      </c>
      <c r="I8" s="125">
        <v>9035.5017898736296</v>
      </c>
      <c r="J8" s="119">
        <v>0</v>
      </c>
      <c r="K8" s="74">
        <v>0</v>
      </c>
      <c r="L8" s="130">
        <v>2.2498260353049395</v>
      </c>
      <c r="M8" s="74">
        <v>0</v>
      </c>
      <c r="O8" s="142">
        <f t="shared" ref="O8:O52" si="18">F8-E8</f>
        <v>4.4999999999999998E-2</v>
      </c>
      <c r="P8" s="142">
        <f t="shared" ref="P8:P52" si="19">G8-E8</f>
        <v>1.5226500000000001</v>
      </c>
      <c r="Q8" s="142">
        <f t="shared" ref="Q8:Q52" si="20">H8-E8</f>
        <v>-1.7000000000000001E-2</v>
      </c>
      <c r="R8" s="142">
        <f t="shared" ref="R8:R52" si="21">G8-F8</f>
        <v>1.4776499999999999</v>
      </c>
      <c r="S8" s="142">
        <f t="shared" ref="S8:S52" si="22">H8-F8</f>
        <v>-6.2E-2</v>
      </c>
      <c r="T8" s="142">
        <f t="shared" ref="T8:T52" si="23">H8-G8</f>
        <v>-1.53965</v>
      </c>
      <c r="U8" s="29"/>
      <c r="V8" s="29">
        <f ca="1">SUMIF(Effektmåling!$D$53:$E$57,'DB materialer'!B8,Effektmåling!$H$53:$H$57)</f>
        <v>0</v>
      </c>
      <c r="W8" s="477" t="str">
        <f ca="1">IF((V8*D8)=0,"",IF(Effektmåling!$Q$241="Ja",1.3*(V8*D8),V8*D8))</f>
        <v/>
      </c>
      <c r="X8" s="29" t="str">
        <f ca="1">IF(W8="","",RANK(W8,$W$7:$W$56,0)+COUNTIF($W$7:W8,W8)-1)</f>
        <v/>
      </c>
      <c r="Y8" s="29" t="str">
        <f ca="1">IF((V8*I8)=0,"",V8*I8)</f>
        <v/>
      </c>
      <c r="Z8" s="29"/>
      <c r="AA8" s="29">
        <f ca="1">$C$122*SUMIF(Effektmåling!$D$128:$E$132,'DB materialer'!$B8,Effektmåling!$I$128:$I$132)</f>
        <v>0</v>
      </c>
      <c r="AB8" s="477" t="str">
        <f ca="1">IF((AA8*D8)=0,"",IF(Effektmåling!$Q$241="Ja",1.3*(AA8*D8),AA8*D8))</f>
        <v/>
      </c>
      <c r="AC8" s="29" t="str">
        <f ca="1">IF(AB8="","",RANK(AB8,$AB$7:$AB$56,0)+COUNTIF($AB$7:AB8,AB8)-1)</f>
        <v/>
      </c>
      <c r="AD8" s="29" t="str">
        <f t="shared" ca="1" si="7"/>
        <v/>
      </c>
      <c r="AE8" s="29"/>
      <c r="AF8" s="29" t="str">
        <f>IF((SUMIFS(Effektmåling!$J$178:$J$182,Effektmåling!$D$178:$D$182,$B8,$AH$120:$AH$124,'DB materialer'!AF$3))&lt;&gt;0,(SUMIFS(Effektmåling!$J$178:$J$182,Effektmåling!$D$178:$D$182,$B8,$AH$120:$AH$124,'DB materialer'!AF$3))*-O8,"")</f>
        <v/>
      </c>
      <c r="AG8" s="29" t="str">
        <f>IF((SUMIFS(Effektmåling!$J$178:$J$182,Effektmåling!$D$178:$D$182,$B8,$AH$120:$AH$124,'DB materialer'!AG$3))&lt;&gt;0,(SUMIFS(Effektmåling!$J$178:$J$182,Effektmåling!$D$178:$D$182,$B8,$AH$120:$AH$124,'DB materialer'!AG$3))*-P8,"")</f>
        <v/>
      </c>
      <c r="AH8" s="29" t="str">
        <f>IF((SUMIFS(Effektmåling!$J$178:$J$182,Effektmåling!$D$178:$D$182,$B8,$AH$120:$AH$124,'DB materialer'!AH$3))&lt;&gt;0,(SUMIFS(Effektmåling!$J$178:$J$182,Effektmåling!$D$178:$D$182,$B8,$AH$120:$AH$124,'DB materialer'!AH$3))*-Q8,"")</f>
        <v/>
      </c>
      <c r="AI8" s="29" t="str">
        <f>IF((SUMIFS(Effektmåling!$J$178:$J$182,Effektmåling!$D$178:$D$182,$B8,$AH$120:$AH$124,'DB materialer'!AI$3))&lt;&gt;0,(SUMIFS(Effektmåling!$J$178:$J$182,Effektmåling!$D$178:$D$182,$B8,$AH$120:$AH$124,'DB materialer'!AI$3))*-R8,"")</f>
        <v/>
      </c>
      <c r="AJ8" s="29" t="str">
        <f>IF((SUMIFS(Effektmåling!$J$178:$J$182,Effektmåling!$D$178:$D$182,$B8,$AH$120:$AH$124,'DB materialer'!AJ$3))&lt;&gt;0,(SUMIFS(Effektmåling!$J$178:$J$182,Effektmåling!$D$178:$D$182,$B8,$AH$120:$AH$124,'DB materialer'!AJ$3))*-S8,"")</f>
        <v/>
      </c>
      <c r="AK8" s="29" t="str">
        <f>IF((SUMIFS(Effektmåling!$J$178:$J$182,Effektmåling!$D$178:$D$182,$B8,$AH$120:$AH$124,'DB materialer'!AK$3))&lt;&gt;0,(SUMIFS(Effektmåling!$J$178:$J$182,Effektmåling!$D$178:$D$182,$B8,$AH$120:$AH$124,'DB materialer'!AK$3))*-T8,"")</f>
        <v/>
      </c>
      <c r="AM8" s="29" t="str">
        <f>IF((SUMIFS(Effektmåling!$J$163:$J$167,Effektmåling!$D$163:$D$167,$B8,$AO$120:$AO$124,'DB materialer'!AM$3))&lt;&gt;0,(SUMIFS(Effektmåling!$J$163:$J$167,Effektmåling!$D$163:$D$167,$B8,$AO$120:$AO$124,'DB materialer'!AM$3))*(-O8)*($C$122),"")</f>
        <v/>
      </c>
      <c r="AN8" s="29" t="str">
        <f>IF((SUMIFS(Effektmåling!$J$163:$J$167,Effektmåling!$D$163:$D$167,$B8,$AO$120:$AO$124,'DB materialer'!AN$3))&lt;&gt;0,(SUMIFS(Effektmåling!$J$163:$J$167,Effektmåling!$D$163:$D$167,$B8,$AO$120:$AO$124,'DB materialer'!AN$3))*(-P8)*($C$122),"")</f>
        <v/>
      </c>
      <c r="AO8" s="29" t="str">
        <f>IF((SUMIFS(Effektmåling!$J$163:$J$167,Effektmåling!$D$163:$D$167,$B8,$AO$120:$AO$124,'DB materialer'!AO$3))&lt;&gt;0,(SUMIFS(Effektmåling!$J$163:$J$167,Effektmåling!$D$163:$D$167,$B8,$AO$120:$AO$124,'DB materialer'!AO$3))*(-Q8)*($C$122),"")</f>
        <v/>
      </c>
      <c r="AP8" s="29" t="str">
        <f>IF((SUMIFS(Effektmåling!$J$163:$J$167,Effektmåling!$D$163:$D$167,$B8,$AO$120:$AO$124,'DB materialer'!AP$3))&lt;&gt;0,(SUMIFS(Effektmåling!$J$163:$J$167,Effektmåling!$D$163:$D$167,$B8,$AO$120:$AO$124,'DB materialer'!AP$3))*(-R8)*($C$122),"")</f>
        <v/>
      </c>
      <c r="AQ8" s="29" t="str">
        <f>IF((SUMIFS(Effektmåling!$J$163:$J$167,Effektmåling!$D$163:$D$167,$B8,$AO$120:$AO$124,'DB materialer'!AQ$3))&lt;&gt;0,(SUMIFS(Effektmåling!$J$163:$J$167,Effektmåling!$D$163:$D$167,$B8,$AO$120:$AO$124,'DB materialer'!AQ$3))*(-S8)*($C$122),"")</f>
        <v/>
      </c>
      <c r="AR8" s="29" t="str">
        <f>IF((SUMIFS(Effektmåling!$J$163:$J$167,Effektmåling!$D$163:$D$167,$B8,$AO$120:$AO$124,'DB materialer'!AR$3))&lt;&gt;0,(SUMIFS(Effektmåling!$J$163:$J$167,Effektmåling!$D$163:$D$167,$B8,$AO$120:$AO$124,'DB materialer'!AR$3))*(-T8)*($C$122),"")</f>
        <v/>
      </c>
      <c r="AT8" s="30">
        <f t="shared" si="8"/>
        <v>1.0000000000000001E-30</v>
      </c>
      <c r="AU8" s="40">
        <f t="shared" si="9"/>
        <v>2.2498260353049395</v>
      </c>
      <c r="AV8" s="41">
        <f t="shared" si="10"/>
        <v>1.0000000000000001E-30</v>
      </c>
      <c r="AW8" s="40">
        <f t="shared" si="11"/>
        <v>2.2498260353049395</v>
      </c>
      <c r="AX8" s="41">
        <f t="shared" si="12"/>
        <v>1.0000000000000001E-30</v>
      </c>
      <c r="AY8" s="41">
        <f t="shared" si="13"/>
        <v>-2.2498260353049395</v>
      </c>
      <c r="BA8" s="29" t="str">
        <f>IF((SUMIFS(Effektmåling!$J$178:$J$182,Effektmåling!$D$178:$D$182,$B8,$AH$120:$AH$124,BA$3))&lt;&gt;0,(SUMIFS(Effektmåling!$J$178:$J$182,Effektmåling!$D$178:$D$182,$B8,$AH$120:$AH$124,BA$3))*-AT8,"")</f>
        <v/>
      </c>
      <c r="BB8" s="29" t="str">
        <f>IF((SUMIFS(Effektmåling!$J$178:$J$182,Effektmåling!$D$178:$D$182,$B8,$AH$120:$AH$124,BB$3))&lt;&gt;0,(SUMIFS(Effektmåling!$J$178:$J$182,Effektmåling!$D$178:$D$182,$B8,$AH$120:$AH$124,BB$3))*-AU8,"")</f>
        <v/>
      </c>
      <c r="BC8" s="29" t="str">
        <f>IF((SUMIFS(Effektmåling!$J$178:$J$182,Effektmåling!$D$178:$D$182,$B8,$AH$120:$AH$124,BC$3))&lt;&gt;0,(SUMIFS(Effektmåling!$J$178:$J$182,Effektmåling!$D$178:$D$182,$B8,$AH$120:$AH$124,BC$3))*-AV8,"")</f>
        <v/>
      </c>
      <c r="BD8" s="29" t="str">
        <f>IF((SUMIFS(Effektmåling!$J$178:$J$182,Effektmåling!$D$178:$D$182,$B8,$AH$120:$AH$124,BD$3))&lt;&gt;0,(SUMIFS(Effektmåling!$J$178:$J$182,Effektmåling!$D$178:$D$182,$B8,$AH$120:$AH$124,BD$3))*-AW8,"")</f>
        <v/>
      </c>
      <c r="BE8" s="29" t="str">
        <f>IF((SUMIFS(Effektmåling!$J$178:$J$182,Effektmåling!$D$178:$D$182,$B8,$AH$120:$AH$124,BE$3))&lt;&gt;0,(SUMIFS(Effektmåling!$J$178:$J$182,Effektmåling!$D$178:$D$182,$B8,$AH$120:$AH$124,BE$3))*-AX8,"")</f>
        <v/>
      </c>
      <c r="BF8" s="29" t="str">
        <f>IF((SUMIFS(Effektmåling!$J$178:$J$182,Effektmåling!$D$178:$D$182,$B8,$AH$120:$AH$124,BF$3))&lt;&gt;0,(SUMIFS(Effektmåling!$J$178:$J$182,Effektmåling!$D$178:$D$182,$B8,$AH$120:$AH$124,BF$3))*-AY8,"")</f>
        <v/>
      </c>
      <c r="BH8" s="29" t="str">
        <f>IF((SUMIFS(Effektmåling!$J$163:$J$167,Effektmåling!$D$163:$D$167,$B8,$AO$120:$AO$124,BH$3))&lt;&gt;0,(SUMIFS(Effektmåling!$J$163:$J$167,Effektmåling!$D$163:$D$167,$B8,$AO$120:$AO$124,BH$3))*-AT8,"")</f>
        <v/>
      </c>
      <c r="BI8" s="29" t="str">
        <f>IF((SUMIFS(Effektmåling!$J$163:$J$167,Effektmåling!$D$163:$D$167,$B8,$AO$120:$AO$124,BI$3))&lt;&gt;0,(SUMIFS(Effektmåling!$J$163:$J$167,Effektmåling!$D$163:$D$167,$B8,$AO$120:$AO$124,BI$3))*-AU8,"")</f>
        <v/>
      </c>
      <c r="BJ8" s="29" t="str">
        <f>IF((SUMIFS(Effektmåling!$J$163:$J$167,Effektmåling!$D$163:$D$167,$B8,$AO$120:$AO$124,BJ$3))&lt;&gt;0,(SUMIFS(Effektmåling!$J$163:$J$167,Effektmåling!$D$163:$D$167,$B8,$AO$120:$AO$124,BJ$3))*-AV8,"")</f>
        <v/>
      </c>
      <c r="BK8" s="29" t="str">
        <f>IF((SUMIFS(Effektmåling!$J$163:$J$167,Effektmåling!$D$163:$D$167,$B8,$AO$120:$AO$124,BK$3))&lt;&gt;0,(SUMIFS(Effektmåling!$J$163:$J$167,Effektmåling!$D$163:$D$167,$B8,$AO$120:$AO$124,BK$3))*-AW8,"")</f>
        <v/>
      </c>
      <c r="BL8" s="29" t="str">
        <f>IF((SUMIFS(Effektmåling!$J$163:$J$167,Effektmåling!$D$163:$D$167,$B8,$AO$120:$AO$124,BL$3))&lt;&gt;0,(SUMIFS(Effektmåling!$J$163:$J$167,Effektmåling!$D$163:$D$167,$B8,$AO$120:$AO$124,BL$3))*-AX8,"")</f>
        <v/>
      </c>
      <c r="BM8" s="29" t="str">
        <f>IF((SUMIFS(Effektmåling!$J$163:$J$167,Effektmåling!$D$163:$D$167,$B8,$AO$120:$AO$124,BM$3))&lt;&gt;0,(SUMIFS(Effektmåling!$J$163:$J$167,Effektmåling!$D$163:$D$167,$B8,$AO$120:$AO$124,BM$3))*-AY8,"")</f>
        <v/>
      </c>
      <c r="BO8" s="211">
        <f t="shared" ref="BO8:BO57" ca="1" si="24">BR8</f>
        <v>100000</v>
      </c>
      <c r="BP8" s="207" t="str">
        <f t="shared" si="4"/>
        <v>Bly</v>
      </c>
      <c r="BQ8" s="29">
        <f t="shared" ref="BQ8:BQ56" ca="1" si="25">V8+AA8+(1-$BQ$4)*SUMIF($BY$7:$BY$11,BP8,$BZ$7:$BZ$11)+(1-$BQ$4)*SUMIF($CA$7:$CA$11,BP8,$CB$7:$CB$11)</f>
        <v>0</v>
      </c>
      <c r="BR8" s="29">
        <f t="shared" ca="1" si="14"/>
        <v>100000</v>
      </c>
      <c r="BS8" s="29">
        <f t="shared" ref="BS8:BS16" si="26">BS7+1</f>
        <v>2</v>
      </c>
      <c r="BT8" s="29">
        <f t="shared" ca="1" si="15"/>
        <v>100000</v>
      </c>
      <c r="BU8" s="29">
        <f t="shared" ca="1" si="16"/>
        <v>0</v>
      </c>
      <c r="BV8" s="211">
        <f ca="1">IF(BU8&gt;0,VLOOKUP(BU8,$BO$7:$BQ$56,2,FALSE),0)</f>
        <v>0</v>
      </c>
      <c r="BW8" s="212">
        <f t="shared" ca="1" si="17"/>
        <v>0</v>
      </c>
      <c r="BY8" s="19" t="e">
        <f t="shared" ref="BY8:BZ8" si="27">AD121</f>
        <v>#N/A</v>
      </c>
      <c r="BZ8" s="19" t="e">
        <f t="shared" si="27"/>
        <v>#N/A</v>
      </c>
      <c r="CA8" s="19" t="e">
        <f t="shared" ref="CA8:CB8" si="28">AS121</f>
        <v>#N/A</v>
      </c>
      <c r="CB8" s="19" t="e">
        <f t="shared" si="28"/>
        <v>#N/A</v>
      </c>
    </row>
    <row r="9" spans="1:80" x14ac:dyDescent="0.15">
      <c r="A9" s="19">
        <f t="shared" si="5"/>
        <v>5</v>
      </c>
      <c r="B9" s="19" t="s">
        <v>251</v>
      </c>
      <c r="C9" s="19">
        <v>1</v>
      </c>
      <c r="D9" s="22">
        <v>4.7083000000000004</v>
      </c>
      <c r="E9" s="22">
        <v>1.7000000000000001E-2</v>
      </c>
      <c r="F9" s="22">
        <v>6.2E-2</v>
      </c>
      <c r="G9" s="99">
        <v>0.51390000000000002</v>
      </c>
      <c r="H9" s="119">
        <v>0</v>
      </c>
      <c r="I9" s="125">
        <v>1507.9115569855301</v>
      </c>
      <c r="J9" s="119">
        <v>0</v>
      </c>
      <c r="K9" s="74">
        <v>0</v>
      </c>
      <c r="L9" s="130">
        <v>0.75094053813737449</v>
      </c>
      <c r="M9" s="74">
        <v>0</v>
      </c>
      <c r="O9" s="142">
        <f t="shared" si="18"/>
        <v>4.4999999999999998E-2</v>
      </c>
      <c r="P9" s="142">
        <f t="shared" si="19"/>
        <v>0.49690000000000001</v>
      </c>
      <c r="Q9" s="142">
        <f t="shared" si="20"/>
        <v>-1.7000000000000001E-2</v>
      </c>
      <c r="R9" s="142">
        <f t="shared" si="21"/>
        <v>0.45190000000000002</v>
      </c>
      <c r="S9" s="142">
        <f t="shared" si="22"/>
        <v>-6.2E-2</v>
      </c>
      <c r="T9" s="142">
        <f t="shared" si="23"/>
        <v>-0.51390000000000002</v>
      </c>
      <c r="V9" s="29">
        <f ca="1">SUMIF(Effektmåling!$D$53:$E$57,'DB materialer'!B9,Effektmåling!$H$53:$H$57)</f>
        <v>0</v>
      </c>
      <c r="W9" s="477" t="str">
        <f ca="1">IF((V9*D9)=0,"",IF(Effektmåling!$Q$241="Ja",1.3*(V9*D9),V9*D9))</f>
        <v/>
      </c>
      <c r="X9" s="29" t="str">
        <f ca="1">IF(W9="","",RANK(W9,$W$7:$W$56,0)+COUNTIF($W$7:W9,W9)-1)</f>
        <v/>
      </c>
      <c r="Y9" s="29" t="str">
        <f t="shared" ca="1" si="6"/>
        <v/>
      </c>
      <c r="AA9" s="29">
        <f ca="1">$C$122*SUMIF(Effektmåling!$D$128:$E$132,'DB materialer'!$B9,Effektmåling!$I$128:$I$132)</f>
        <v>0</v>
      </c>
      <c r="AB9" s="477" t="str">
        <f ca="1">IF((AA9*D9)=0,"",IF(Effektmåling!$Q$241="Ja",1.3*(AA9*D9),AA9*D9))</f>
        <v/>
      </c>
      <c r="AC9" s="29" t="str">
        <f ca="1">IF(AB9="","",RANK(AB9,$AB$7:$AB$56,0)+COUNTIF($AB$7:AB9,AB9)-1)</f>
        <v/>
      </c>
      <c r="AD9" s="29" t="str">
        <f t="shared" ca="1" si="7"/>
        <v/>
      </c>
      <c r="AE9" s="29"/>
      <c r="AF9" s="29" t="str">
        <f>IF((SUMIFS(Effektmåling!$J$178:$J$182,Effektmåling!$D$178:$D$182,$B9,$AH$120:$AH$124,'DB materialer'!AF$3))&lt;&gt;0,(SUMIFS(Effektmåling!$J$178:$J$182,Effektmåling!$D$178:$D$182,$B9,$AH$120:$AH$124,'DB materialer'!AF$3))*-O9,"")</f>
        <v/>
      </c>
      <c r="AG9" s="29" t="str">
        <f>IF((SUMIFS(Effektmåling!$J$178:$J$182,Effektmåling!$D$178:$D$182,$B9,$AH$120:$AH$124,'DB materialer'!AG$3))&lt;&gt;0,(SUMIFS(Effektmåling!$J$178:$J$182,Effektmåling!$D$178:$D$182,$B9,$AH$120:$AH$124,'DB materialer'!AG$3))*-P9,"")</f>
        <v/>
      </c>
      <c r="AH9" s="29" t="str">
        <f>IF((SUMIFS(Effektmåling!$J$178:$J$182,Effektmåling!$D$178:$D$182,$B9,$AH$120:$AH$124,'DB materialer'!AH$3))&lt;&gt;0,(SUMIFS(Effektmåling!$J$178:$J$182,Effektmåling!$D$178:$D$182,$B9,$AH$120:$AH$124,'DB materialer'!AH$3))*-Q9,"")</f>
        <v/>
      </c>
      <c r="AI9" s="29" t="str">
        <f>IF((SUMIFS(Effektmåling!$J$178:$J$182,Effektmåling!$D$178:$D$182,$B9,$AH$120:$AH$124,'DB materialer'!AI$3))&lt;&gt;0,(SUMIFS(Effektmåling!$J$178:$J$182,Effektmåling!$D$178:$D$182,$B9,$AH$120:$AH$124,'DB materialer'!AI$3))*-R9,"")</f>
        <v/>
      </c>
      <c r="AJ9" s="29" t="str">
        <f>IF((SUMIFS(Effektmåling!$J$178:$J$182,Effektmåling!$D$178:$D$182,$B9,$AH$120:$AH$124,'DB materialer'!AJ$3))&lt;&gt;0,(SUMIFS(Effektmåling!$J$178:$J$182,Effektmåling!$D$178:$D$182,$B9,$AH$120:$AH$124,'DB materialer'!AJ$3))*-S9,"")</f>
        <v/>
      </c>
      <c r="AK9" s="29" t="str">
        <f>IF((SUMIFS(Effektmåling!$J$178:$J$182,Effektmåling!$D$178:$D$182,$B9,$AH$120:$AH$124,'DB materialer'!AK$3))&lt;&gt;0,(SUMIFS(Effektmåling!$J$178:$J$182,Effektmåling!$D$178:$D$182,$B9,$AH$120:$AH$124,'DB materialer'!AK$3))*-T9,"")</f>
        <v/>
      </c>
      <c r="AM9" s="29" t="str">
        <f>IF((SUMIFS(Effektmåling!$J$163:$J$167,Effektmåling!$D$163:$D$167,$B9,$AO$120:$AO$124,'DB materialer'!AM$3))&lt;&gt;0,(SUMIFS(Effektmåling!$J$163:$J$167,Effektmåling!$D$163:$D$167,$B9,$AO$120:$AO$124,'DB materialer'!AM$3))*(-O9)*($C$122),"")</f>
        <v/>
      </c>
      <c r="AN9" s="29" t="str">
        <f>IF((SUMIFS(Effektmåling!$J$163:$J$167,Effektmåling!$D$163:$D$167,$B9,$AO$120:$AO$124,'DB materialer'!AN$3))&lt;&gt;0,(SUMIFS(Effektmåling!$J$163:$J$167,Effektmåling!$D$163:$D$167,$B9,$AO$120:$AO$124,'DB materialer'!AN$3))*(-P9)*($C$122),"")</f>
        <v/>
      </c>
      <c r="AO9" s="29" t="str">
        <f>IF((SUMIFS(Effektmåling!$J$163:$J$167,Effektmåling!$D$163:$D$167,$B9,$AO$120:$AO$124,'DB materialer'!AO$3))&lt;&gt;0,(SUMIFS(Effektmåling!$J$163:$J$167,Effektmåling!$D$163:$D$167,$B9,$AO$120:$AO$124,'DB materialer'!AO$3))*(-Q9)*($C$122),"")</f>
        <v/>
      </c>
      <c r="AP9" s="29" t="str">
        <f>IF((SUMIFS(Effektmåling!$J$163:$J$167,Effektmåling!$D$163:$D$167,$B9,$AO$120:$AO$124,'DB materialer'!AP$3))&lt;&gt;0,(SUMIFS(Effektmåling!$J$163:$J$167,Effektmåling!$D$163:$D$167,$B9,$AO$120:$AO$124,'DB materialer'!AP$3))*(-R9)*($C$122),"")</f>
        <v/>
      </c>
      <c r="AQ9" s="29" t="str">
        <f>IF((SUMIFS(Effektmåling!$J$163:$J$167,Effektmåling!$D$163:$D$167,$B9,$AO$120:$AO$124,'DB materialer'!AQ$3))&lt;&gt;0,(SUMIFS(Effektmåling!$J$163:$J$167,Effektmåling!$D$163:$D$167,$B9,$AO$120:$AO$124,'DB materialer'!AQ$3))*(-S9)*($C$122),"")</f>
        <v/>
      </c>
      <c r="AR9" s="29" t="str">
        <f>IF((SUMIFS(Effektmåling!$J$163:$J$167,Effektmåling!$D$163:$D$167,$B9,$AO$120:$AO$124,'DB materialer'!AR$3))&lt;&gt;0,(SUMIFS(Effektmåling!$J$163:$J$167,Effektmåling!$D$163:$D$167,$B9,$AO$120:$AO$124,'DB materialer'!AR$3))*(-T9)*($C$122),"")</f>
        <v/>
      </c>
      <c r="AT9" s="30">
        <f t="shared" si="8"/>
        <v>1.0000000000000001E-30</v>
      </c>
      <c r="AU9" s="40">
        <f t="shared" si="9"/>
        <v>0.75094053813737449</v>
      </c>
      <c r="AV9" s="41">
        <f t="shared" si="10"/>
        <v>1.0000000000000001E-30</v>
      </c>
      <c r="AW9" s="40">
        <f t="shared" si="11"/>
        <v>0.75094053813737449</v>
      </c>
      <c r="AX9" s="41">
        <f t="shared" si="12"/>
        <v>1.0000000000000001E-30</v>
      </c>
      <c r="AY9" s="41">
        <f t="shared" si="13"/>
        <v>-0.75094053813737449</v>
      </c>
      <c r="BA9" s="29" t="str">
        <f>IF((SUMIFS(Effektmåling!$J$178:$J$182,Effektmåling!$D$178:$D$182,$B9,$AH$120:$AH$124,BA$3))&lt;&gt;0,(SUMIFS(Effektmåling!$J$178:$J$182,Effektmåling!$D$178:$D$182,$B9,$AH$120:$AH$124,BA$3))*-AT9,"")</f>
        <v/>
      </c>
      <c r="BB9" s="29" t="str">
        <f>IF((SUMIFS(Effektmåling!$J$178:$J$182,Effektmåling!$D$178:$D$182,$B9,$AH$120:$AH$124,BB$3))&lt;&gt;0,(SUMIFS(Effektmåling!$J$178:$J$182,Effektmåling!$D$178:$D$182,$B9,$AH$120:$AH$124,BB$3))*-AU9,"")</f>
        <v/>
      </c>
      <c r="BC9" s="29" t="str">
        <f>IF((SUMIFS(Effektmåling!$J$178:$J$182,Effektmåling!$D$178:$D$182,$B9,$AH$120:$AH$124,BC$3))&lt;&gt;0,(SUMIFS(Effektmåling!$J$178:$J$182,Effektmåling!$D$178:$D$182,$B9,$AH$120:$AH$124,BC$3))*-AV9,"")</f>
        <v/>
      </c>
      <c r="BD9" s="29" t="str">
        <f>IF((SUMIFS(Effektmåling!$J$178:$J$182,Effektmåling!$D$178:$D$182,$B9,$AH$120:$AH$124,BD$3))&lt;&gt;0,(SUMIFS(Effektmåling!$J$178:$J$182,Effektmåling!$D$178:$D$182,$B9,$AH$120:$AH$124,BD$3))*-AW9,"")</f>
        <v/>
      </c>
      <c r="BE9" s="29" t="str">
        <f>IF((SUMIFS(Effektmåling!$J$178:$J$182,Effektmåling!$D$178:$D$182,$B9,$AH$120:$AH$124,BE$3))&lt;&gt;0,(SUMIFS(Effektmåling!$J$178:$J$182,Effektmåling!$D$178:$D$182,$B9,$AH$120:$AH$124,BE$3))*-AX9,"")</f>
        <v/>
      </c>
      <c r="BF9" s="29" t="str">
        <f>IF((SUMIFS(Effektmåling!$J$178:$J$182,Effektmåling!$D$178:$D$182,$B9,$AH$120:$AH$124,BF$3))&lt;&gt;0,(SUMIFS(Effektmåling!$J$178:$J$182,Effektmåling!$D$178:$D$182,$B9,$AH$120:$AH$124,BF$3))*-AY9,"")</f>
        <v/>
      </c>
      <c r="BH9" s="29" t="str">
        <f>IF((SUMIFS(Effektmåling!$J$163:$J$167,Effektmåling!$D$163:$D$167,$B9,$AO$120:$AO$124,BH$3))&lt;&gt;0,(SUMIFS(Effektmåling!$J$163:$J$167,Effektmåling!$D$163:$D$167,$B9,$AO$120:$AO$124,BH$3))*-AT9,"")</f>
        <v/>
      </c>
      <c r="BI9" s="29" t="str">
        <f>IF((SUMIFS(Effektmåling!$J$163:$J$167,Effektmåling!$D$163:$D$167,$B9,$AO$120:$AO$124,BI$3))&lt;&gt;0,(SUMIFS(Effektmåling!$J$163:$J$167,Effektmåling!$D$163:$D$167,$B9,$AO$120:$AO$124,BI$3))*-AU9,"")</f>
        <v/>
      </c>
      <c r="BJ9" s="29" t="str">
        <f>IF((SUMIFS(Effektmåling!$J$163:$J$167,Effektmåling!$D$163:$D$167,$B9,$AO$120:$AO$124,BJ$3))&lt;&gt;0,(SUMIFS(Effektmåling!$J$163:$J$167,Effektmåling!$D$163:$D$167,$B9,$AO$120:$AO$124,BJ$3))*-AV9,"")</f>
        <v/>
      </c>
      <c r="BK9" s="29" t="str">
        <f>IF((SUMIFS(Effektmåling!$J$163:$J$167,Effektmåling!$D$163:$D$167,$B9,$AO$120:$AO$124,BK$3))&lt;&gt;0,(SUMIFS(Effektmåling!$J$163:$J$167,Effektmåling!$D$163:$D$167,$B9,$AO$120:$AO$124,BK$3))*-AW9,"")</f>
        <v/>
      </c>
      <c r="BL9" s="29" t="str">
        <f>IF((SUMIFS(Effektmåling!$J$163:$J$167,Effektmåling!$D$163:$D$167,$B9,$AO$120:$AO$124,BL$3))&lt;&gt;0,(SUMIFS(Effektmåling!$J$163:$J$167,Effektmåling!$D$163:$D$167,$B9,$AO$120:$AO$124,BL$3))*-AX9,"")</f>
        <v/>
      </c>
      <c r="BM9" s="29" t="str">
        <f>IF((SUMIFS(Effektmåling!$J$163:$J$167,Effektmåling!$D$163:$D$167,$B9,$AO$120:$AO$124,BM$3))&lt;&gt;0,(SUMIFS(Effektmåling!$J$163:$J$167,Effektmåling!$D$163:$D$167,$B9,$AO$120:$AO$124,BM$3))*-AY9,"")</f>
        <v/>
      </c>
      <c r="BO9" s="211">
        <f t="shared" ca="1" si="24"/>
        <v>100000</v>
      </c>
      <c r="BP9" s="207" t="str">
        <f t="shared" si="4"/>
        <v>Kobber</v>
      </c>
      <c r="BQ9" s="29">
        <f t="shared" ca="1" si="25"/>
        <v>0</v>
      </c>
      <c r="BR9" s="29">
        <f t="shared" ca="1" si="14"/>
        <v>100000</v>
      </c>
      <c r="BS9" s="29">
        <f t="shared" si="26"/>
        <v>3</v>
      </c>
      <c r="BT9" s="29">
        <f t="shared" ca="1" si="15"/>
        <v>100000</v>
      </c>
      <c r="BU9" s="29">
        <f t="shared" ca="1" si="16"/>
        <v>0</v>
      </c>
      <c r="BV9" s="211">
        <f t="shared" ref="BV9:BV16" ca="1" si="29">IF(BU9&gt;0,VLOOKUP(BU9,$BO$7:$BQ$56,2,FALSE),0)</f>
        <v>0</v>
      </c>
      <c r="BW9" s="212">
        <f t="shared" ca="1" si="17"/>
        <v>0</v>
      </c>
      <c r="BY9" s="19" t="e">
        <f t="shared" ref="BY9:BZ9" si="30">AD122</f>
        <v>#N/A</v>
      </c>
      <c r="BZ9" s="19" t="e">
        <f t="shared" si="30"/>
        <v>#N/A</v>
      </c>
      <c r="CA9" s="19" t="e">
        <f t="shared" ref="CA9:CB9" si="31">AS122</f>
        <v>#N/A</v>
      </c>
      <c r="CB9" s="19" t="e">
        <f t="shared" si="31"/>
        <v>#N/A</v>
      </c>
    </row>
    <row r="10" spans="1:80" x14ac:dyDescent="0.15">
      <c r="A10" s="19">
        <f t="shared" si="5"/>
        <v>6</v>
      </c>
      <c r="B10" s="19" t="s">
        <v>252</v>
      </c>
      <c r="C10" s="19">
        <v>1</v>
      </c>
      <c r="D10" s="100">
        <v>12.441000000000001</v>
      </c>
      <c r="E10" s="24">
        <v>1.7000000000000001E-2</v>
      </c>
      <c r="F10" s="24">
        <v>6.2E-2</v>
      </c>
      <c r="G10" s="107">
        <v>1.2441000000000002</v>
      </c>
      <c r="H10" s="119">
        <v>0</v>
      </c>
      <c r="I10" s="125">
        <v>2516.9091667215298</v>
      </c>
      <c r="J10" s="119">
        <v>0</v>
      </c>
      <c r="K10" s="74">
        <v>0</v>
      </c>
      <c r="L10" s="130">
        <v>1.8179512035351384</v>
      </c>
      <c r="M10" s="74">
        <v>0</v>
      </c>
      <c r="O10" s="142">
        <f t="shared" si="18"/>
        <v>4.4999999999999998E-2</v>
      </c>
      <c r="P10" s="142">
        <f t="shared" si="19"/>
        <v>1.2271000000000003</v>
      </c>
      <c r="Q10" s="142">
        <f t="shared" si="20"/>
        <v>-1.7000000000000001E-2</v>
      </c>
      <c r="R10" s="142">
        <f t="shared" si="21"/>
        <v>1.1821000000000002</v>
      </c>
      <c r="S10" s="142">
        <f t="shared" si="22"/>
        <v>-6.2E-2</v>
      </c>
      <c r="T10" s="142">
        <f t="shared" si="23"/>
        <v>-1.2441000000000002</v>
      </c>
      <c r="V10" s="29">
        <f ca="1">SUMIF(Effektmåling!$D$53:$E$57,'DB materialer'!B10,Effektmåling!$H$53:$H$57)</f>
        <v>0</v>
      </c>
      <c r="W10" s="477" t="str">
        <f ca="1">IF((V10*D10)=0,"",IF(Effektmåling!$Q$241="Ja",1.3*(V10*D10),V10*D10))</f>
        <v/>
      </c>
      <c r="X10" s="29" t="str">
        <f ca="1">IF(W10="","",RANK(W10,$W$7:$W$56,0)+COUNTIF($W$7:W10,W10)-1)</f>
        <v/>
      </c>
      <c r="Y10" s="29" t="str">
        <f t="shared" ca="1" si="6"/>
        <v/>
      </c>
      <c r="AA10" s="29">
        <f ca="1">$C$122*SUMIF(Effektmåling!$D$128:$E$132,'DB materialer'!$B10,Effektmåling!$I$128:$I$132)</f>
        <v>0</v>
      </c>
      <c r="AB10" s="477" t="str">
        <f ca="1">IF((AA10*D10)=0,"",IF(Effektmåling!$Q$241="Ja",1.3*(AA10*D10),AA10*D10))</f>
        <v/>
      </c>
      <c r="AC10" s="29" t="str">
        <f ca="1">IF(AB10="","",RANK(AB10,$AB$7:$AB$56,0)+COUNTIF($AB$7:AB10,AB10)-1)</f>
        <v/>
      </c>
      <c r="AD10" s="29" t="str">
        <f t="shared" ca="1" si="7"/>
        <v/>
      </c>
      <c r="AE10" s="29"/>
      <c r="AF10" s="29" t="str">
        <f>IF((SUMIFS(Effektmåling!$J$178:$J$182,Effektmåling!$D$178:$D$182,$B10,$AH$120:$AH$124,'DB materialer'!AF$3))&lt;&gt;0,(SUMIFS(Effektmåling!$J$178:$J$182,Effektmåling!$D$178:$D$182,$B10,$AH$120:$AH$124,'DB materialer'!AF$3))*-O10,"")</f>
        <v/>
      </c>
      <c r="AG10" s="29" t="str">
        <f>IF((SUMIFS(Effektmåling!$J$178:$J$182,Effektmåling!$D$178:$D$182,$B10,$AH$120:$AH$124,'DB materialer'!AG$3))&lt;&gt;0,(SUMIFS(Effektmåling!$J$178:$J$182,Effektmåling!$D$178:$D$182,$B10,$AH$120:$AH$124,'DB materialer'!AG$3))*-P10,"")</f>
        <v/>
      </c>
      <c r="AH10" s="29" t="str">
        <f>IF((SUMIFS(Effektmåling!$J$178:$J$182,Effektmåling!$D$178:$D$182,$B10,$AH$120:$AH$124,'DB materialer'!AH$3))&lt;&gt;0,(SUMIFS(Effektmåling!$J$178:$J$182,Effektmåling!$D$178:$D$182,$B10,$AH$120:$AH$124,'DB materialer'!AH$3))*-Q10,"")</f>
        <v/>
      </c>
      <c r="AI10" s="29" t="str">
        <f>IF((SUMIFS(Effektmåling!$J$178:$J$182,Effektmåling!$D$178:$D$182,$B10,$AH$120:$AH$124,'DB materialer'!AI$3))&lt;&gt;0,(SUMIFS(Effektmåling!$J$178:$J$182,Effektmåling!$D$178:$D$182,$B10,$AH$120:$AH$124,'DB materialer'!AI$3))*-R10,"")</f>
        <v/>
      </c>
      <c r="AJ10" s="29" t="str">
        <f>IF((SUMIFS(Effektmåling!$J$178:$J$182,Effektmåling!$D$178:$D$182,$B10,$AH$120:$AH$124,'DB materialer'!AJ$3))&lt;&gt;0,(SUMIFS(Effektmåling!$J$178:$J$182,Effektmåling!$D$178:$D$182,$B10,$AH$120:$AH$124,'DB materialer'!AJ$3))*-S10,"")</f>
        <v/>
      </c>
      <c r="AK10" s="29" t="str">
        <f>IF((SUMIFS(Effektmåling!$J$178:$J$182,Effektmåling!$D$178:$D$182,$B10,$AH$120:$AH$124,'DB materialer'!AK$3))&lt;&gt;0,(SUMIFS(Effektmåling!$J$178:$J$182,Effektmåling!$D$178:$D$182,$B10,$AH$120:$AH$124,'DB materialer'!AK$3))*-T10,"")</f>
        <v/>
      </c>
      <c r="AM10" s="29" t="str">
        <f>IF((SUMIFS(Effektmåling!$J$163:$J$167,Effektmåling!$D$163:$D$167,$B10,$AO$120:$AO$124,'DB materialer'!AM$3))&lt;&gt;0,(SUMIFS(Effektmåling!$J$163:$J$167,Effektmåling!$D$163:$D$167,$B10,$AO$120:$AO$124,'DB materialer'!AM$3))*(-O10)*($C$122),"")</f>
        <v/>
      </c>
      <c r="AN10" s="29" t="str">
        <f>IF((SUMIFS(Effektmåling!$J$163:$J$167,Effektmåling!$D$163:$D$167,$B10,$AO$120:$AO$124,'DB materialer'!AN$3))&lt;&gt;0,(SUMIFS(Effektmåling!$J$163:$J$167,Effektmåling!$D$163:$D$167,$B10,$AO$120:$AO$124,'DB materialer'!AN$3))*(-P10)*($C$122),"")</f>
        <v/>
      </c>
      <c r="AO10" s="29" t="str">
        <f>IF((SUMIFS(Effektmåling!$J$163:$J$167,Effektmåling!$D$163:$D$167,$B10,$AO$120:$AO$124,'DB materialer'!AO$3))&lt;&gt;0,(SUMIFS(Effektmåling!$J$163:$J$167,Effektmåling!$D$163:$D$167,$B10,$AO$120:$AO$124,'DB materialer'!AO$3))*(-Q10)*($C$122),"")</f>
        <v/>
      </c>
      <c r="AP10" s="29" t="str">
        <f>IF((SUMIFS(Effektmåling!$J$163:$J$167,Effektmåling!$D$163:$D$167,$B10,$AO$120:$AO$124,'DB materialer'!AP$3))&lt;&gt;0,(SUMIFS(Effektmåling!$J$163:$J$167,Effektmåling!$D$163:$D$167,$B10,$AO$120:$AO$124,'DB materialer'!AP$3))*(-R10)*($C$122),"")</f>
        <v/>
      </c>
      <c r="AQ10" s="29" t="str">
        <f>IF((SUMIFS(Effektmåling!$J$163:$J$167,Effektmåling!$D$163:$D$167,$B10,$AO$120:$AO$124,'DB materialer'!AQ$3))&lt;&gt;0,(SUMIFS(Effektmåling!$J$163:$J$167,Effektmåling!$D$163:$D$167,$B10,$AO$120:$AO$124,'DB materialer'!AQ$3))*(-S10)*($C$122),"")</f>
        <v/>
      </c>
      <c r="AR10" s="29" t="str">
        <f>IF((SUMIFS(Effektmåling!$J$163:$J$167,Effektmåling!$D$163:$D$167,$B10,$AO$120:$AO$124,'DB materialer'!AR$3))&lt;&gt;0,(SUMIFS(Effektmåling!$J$163:$J$167,Effektmåling!$D$163:$D$167,$B10,$AO$120:$AO$124,'DB materialer'!AR$3))*(-T10)*($C$122),"")</f>
        <v/>
      </c>
      <c r="AT10" s="30">
        <f t="shared" si="8"/>
        <v>1.0000000000000001E-30</v>
      </c>
      <c r="AU10" s="40">
        <f t="shared" si="9"/>
        <v>1.8179512035351384</v>
      </c>
      <c r="AV10" s="41">
        <f t="shared" si="10"/>
        <v>1.0000000000000001E-30</v>
      </c>
      <c r="AW10" s="40">
        <f t="shared" si="11"/>
        <v>1.8179512035351384</v>
      </c>
      <c r="AX10" s="41">
        <f t="shared" si="12"/>
        <v>1.0000000000000001E-30</v>
      </c>
      <c r="AY10" s="41">
        <f t="shared" si="13"/>
        <v>-1.8179512035351384</v>
      </c>
      <c r="BA10" s="29" t="str">
        <f>IF((SUMIFS(Effektmåling!$J$178:$J$182,Effektmåling!$D$178:$D$182,$B10,$AH$120:$AH$124,BA$3))&lt;&gt;0,(SUMIFS(Effektmåling!$J$178:$J$182,Effektmåling!$D$178:$D$182,$B10,$AH$120:$AH$124,BA$3))*-AT10,"")</f>
        <v/>
      </c>
      <c r="BB10" s="29" t="str">
        <f>IF((SUMIFS(Effektmåling!$J$178:$J$182,Effektmåling!$D$178:$D$182,$B10,$AH$120:$AH$124,BB$3))&lt;&gt;0,(SUMIFS(Effektmåling!$J$178:$J$182,Effektmåling!$D$178:$D$182,$B10,$AH$120:$AH$124,BB$3))*-AU10,"")</f>
        <v/>
      </c>
      <c r="BC10" s="29" t="str">
        <f>IF((SUMIFS(Effektmåling!$J$178:$J$182,Effektmåling!$D$178:$D$182,$B10,$AH$120:$AH$124,BC$3))&lt;&gt;0,(SUMIFS(Effektmåling!$J$178:$J$182,Effektmåling!$D$178:$D$182,$B10,$AH$120:$AH$124,BC$3))*-AV10,"")</f>
        <v/>
      </c>
      <c r="BD10" s="29" t="str">
        <f>IF((SUMIFS(Effektmåling!$J$178:$J$182,Effektmåling!$D$178:$D$182,$B10,$AH$120:$AH$124,BD$3))&lt;&gt;0,(SUMIFS(Effektmåling!$J$178:$J$182,Effektmåling!$D$178:$D$182,$B10,$AH$120:$AH$124,BD$3))*-AW10,"")</f>
        <v/>
      </c>
      <c r="BE10" s="29" t="str">
        <f>IF((SUMIFS(Effektmåling!$J$178:$J$182,Effektmåling!$D$178:$D$182,$B10,$AH$120:$AH$124,BE$3))&lt;&gt;0,(SUMIFS(Effektmåling!$J$178:$J$182,Effektmåling!$D$178:$D$182,$B10,$AH$120:$AH$124,BE$3))*-AX10,"")</f>
        <v/>
      </c>
      <c r="BF10" s="29" t="str">
        <f>IF((SUMIFS(Effektmåling!$J$178:$J$182,Effektmåling!$D$178:$D$182,$B10,$AH$120:$AH$124,BF$3))&lt;&gt;0,(SUMIFS(Effektmåling!$J$178:$J$182,Effektmåling!$D$178:$D$182,$B10,$AH$120:$AH$124,BF$3))*-AY10,"")</f>
        <v/>
      </c>
      <c r="BH10" s="29" t="str">
        <f>IF((SUMIFS(Effektmåling!$J$163:$J$167,Effektmåling!$D$163:$D$167,$B10,$AO$120:$AO$124,BH$3))&lt;&gt;0,(SUMIFS(Effektmåling!$J$163:$J$167,Effektmåling!$D$163:$D$167,$B10,$AO$120:$AO$124,BH$3))*-AT10,"")</f>
        <v/>
      </c>
      <c r="BI10" s="29" t="str">
        <f>IF((SUMIFS(Effektmåling!$J$163:$J$167,Effektmåling!$D$163:$D$167,$B10,$AO$120:$AO$124,BI$3))&lt;&gt;0,(SUMIFS(Effektmåling!$J$163:$J$167,Effektmåling!$D$163:$D$167,$B10,$AO$120:$AO$124,BI$3))*-AU10,"")</f>
        <v/>
      </c>
      <c r="BJ10" s="29" t="str">
        <f>IF((SUMIFS(Effektmåling!$J$163:$J$167,Effektmåling!$D$163:$D$167,$B10,$AO$120:$AO$124,BJ$3))&lt;&gt;0,(SUMIFS(Effektmåling!$J$163:$J$167,Effektmåling!$D$163:$D$167,$B10,$AO$120:$AO$124,BJ$3))*-AV10,"")</f>
        <v/>
      </c>
      <c r="BK10" s="29" t="str">
        <f>IF((SUMIFS(Effektmåling!$J$163:$J$167,Effektmåling!$D$163:$D$167,$B10,$AO$120:$AO$124,BK$3))&lt;&gt;0,(SUMIFS(Effektmåling!$J$163:$J$167,Effektmåling!$D$163:$D$167,$B10,$AO$120:$AO$124,BK$3))*-AW10,"")</f>
        <v/>
      </c>
      <c r="BL10" s="29" t="str">
        <f>IF((SUMIFS(Effektmåling!$J$163:$J$167,Effektmåling!$D$163:$D$167,$B10,$AO$120:$AO$124,BL$3))&lt;&gt;0,(SUMIFS(Effektmåling!$J$163:$J$167,Effektmåling!$D$163:$D$167,$B10,$AO$120:$AO$124,BL$3))*-AX10,"")</f>
        <v/>
      </c>
      <c r="BM10" s="29" t="str">
        <f>IF((SUMIFS(Effektmåling!$J$163:$J$167,Effektmåling!$D$163:$D$167,$B10,$AO$120:$AO$124,BM$3))&lt;&gt;0,(SUMIFS(Effektmåling!$J$163:$J$167,Effektmåling!$D$163:$D$167,$B10,$AO$120:$AO$124,BM$3))*-AY10,"")</f>
        <v/>
      </c>
      <c r="BO10" s="211">
        <f t="shared" ca="1" si="24"/>
        <v>100000</v>
      </c>
      <c r="BP10" s="207" t="str">
        <f t="shared" si="4"/>
        <v>Nikkel</v>
      </c>
      <c r="BQ10" s="29">
        <f t="shared" ca="1" si="25"/>
        <v>0</v>
      </c>
      <c r="BR10" s="29">
        <f t="shared" ca="1" si="14"/>
        <v>100000</v>
      </c>
      <c r="BS10" s="29">
        <f t="shared" si="26"/>
        <v>4</v>
      </c>
      <c r="BT10" s="29">
        <f t="shared" ca="1" si="15"/>
        <v>100000</v>
      </c>
      <c r="BU10" s="29">
        <f t="shared" ca="1" si="16"/>
        <v>0</v>
      </c>
      <c r="BV10" s="211">
        <f t="shared" ca="1" si="29"/>
        <v>0</v>
      </c>
      <c r="BW10" s="212">
        <f t="shared" ca="1" si="17"/>
        <v>0</v>
      </c>
      <c r="BY10" s="19" t="e">
        <f t="shared" ref="BY10:BZ10" si="32">AD123</f>
        <v>#N/A</v>
      </c>
      <c r="BZ10" s="19" t="e">
        <f t="shared" si="32"/>
        <v>#N/A</v>
      </c>
      <c r="CA10" s="19" t="e">
        <f t="shared" ref="CA10:CB10" si="33">AS123</f>
        <v>#N/A</v>
      </c>
      <c r="CB10" s="19" t="e">
        <f t="shared" si="33"/>
        <v>#N/A</v>
      </c>
    </row>
    <row r="11" spans="1:80" ht="21" x14ac:dyDescent="0.15">
      <c r="A11" s="19">
        <f t="shared" si="5"/>
        <v>7</v>
      </c>
      <c r="B11" s="19" t="s">
        <v>253</v>
      </c>
      <c r="C11" s="19">
        <v>1</v>
      </c>
      <c r="D11" s="170">
        <v>1.5948</v>
      </c>
      <c r="E11" s="22">
        <v>1.7000000000000001E-2</v>
      </c>
      <c r="F11" s="22">
        <v>6.2E-2</v>
      </c>
      <c r="G11" s="99">
        <v>0.49299999999999999</v>
      </c>
      <c r="H11" s="119">
        <v>0</v>
      </c>
      <c r="I11" s="126">
        <v>1</v>
      </c>
      <c r="J11" s="119">
        <v>0</v>
      </c>
      <c r="K11" s="74">
        <v>0</v>
      </c>
      <c r="L11" s="130">
        <v>0.72040024382511303</v>
      </c>
      <c r="M11" s="74">
        <v>0</v>
      </c>
      <c r="O11" s="142">
        <f t="shared" si="18"/>
        <v>4.4999999999999998E-2</v>
      </c>
      <c r="P11" s="142">
        <f t="shared" si="19"/>
        <v>0.47599999999999998</v>
      </c>
      <c r="Q11" s="142">
        <f t="shared" si="20"/>
        <v>-1.7000000000000001E-2</v>
      </c>
      <c r="R11" s="142">
        <f t="shared" si="21"/>
        <v>0.43099999999999999</v>
      </c>
      <c r="S11" s="142">
        <f>H11-F11</f>
        <v>-6.2E-2</v>
      </c>
      <c r="T11" s="142">
        <f t="shared" si="23"/>
        <v>-0.49299999999999999</v>
      </c>
      <c r="V11" s="29">
        <f ca="1">SUMIF(Effektmåling!$D$53:$E$57,'DB materialer'!B11,Effektmåling!$H$53:$H$57)</f>
        <v>0</v>
      </c>
      <c r="W11" s="477" t="str">
        <f ca="1">IF((V11*D11)=0,"",IF(Effektmåling!$Q$241="Ja",1.3*(V11*D11),V11*D11))</f>
        <v/>
      </c>
      <c r="X11" s="29" t="str">
        <f ca="1">IF(W11="","",RANK(W11,$W$7:$W$56,0)+COUNTIF($W$7:W11,W11)-1)</f>
        <v/>
      </c>
      <c r="Y11" s="29" t="str">
        <f t="shared" ca="1" si="6"/>
        <v/>
      </c>
      <c r="AA11" s="29">
        <f ca="1">$C$122*SUMIF(Effektmåling!$D$128:$E$132,'DB materialer'!$B11,Effektmåling!$I$128:$I$132)</f>
        <v>0</v>
      </c>
      <c r="AB11" s="477" t="str">
        <f ca="1">IF((AA11*D11)=0,"",IF(Effektmåling!$Q$241="Ja",1.3*(AA11*D11),AA11*D11))</f>
        <v/>
      </c>
      <c r="AC11" s="29" t="str">
        <f ca="1">IF(AB11="","",RANK(AB11,$AB$7:$AB$56,0)+COUNTIF($AB$7:AB11,AB11)-1)</f>
        <v/>
      </c>
      <c r="AD11" s="29" t="str">
        <f t="shared" ca="1" si="7"/>
        <v/>
      </c>
      <c r="AE11" s="29"/>
      <c r="AF11" s="29" t="str">
        <f>IF((SUMIFS(Effektmåling!$J$178:$J$182,Effektmåling!$D$178:$D$182,$B11,$AH$120:$AH$124,'DB materialer'!AF$3))&lt;&gt;0,(SUMIFS(Effektmåling!$J$178:$J$182,Effektmåling!$D$178:$D$182,$B11,$AH$120:$AH$124,'DB materialer'!AF$3))*-O11,"")</f>
        <v/>
      </c>
      <c r="AG11" s="29" t="str">
        <f>IF((SUMIFS(Effektmåling!$J$178:$J$182,Effektmåling!$D$178:$D$182,$B11,$AH$120:$AH$124,'DB materialer'!AG$3))&lt;&gt;0,(SUMIFS(Effektmåling!$J$178:$J$182,Effektmåling!$D$178:$D$182,$B11,$AH$120:$AH$124,'DB materialer'!AG$3))*-P11,"")</f>
        <v/>
      </c>
      <c r="AH11" s="29" t="str">
        <f>IF((SUMIFS(Effektmåling!$J$178:$J$182,Effektmåling!$D$178:$D$182,$B11,$AH$120:$AH$124,'DB materialer'!AH$3))&lt;&gt;0,(SUMIFS(Effektmåling!$J$178:$J$182,Effektmåling!$D$178:$D$182,$B11,$AH$120:$AH$124,'DB materialer'!AH$3))*-Q11,"")</f>
        <v/>
      </c>
      <c r="AI11" s="29" t="str">
        <f>IF((SUMIFS(Effektmåling!$J$178:$J$182,Effektmåling!$D$178:$D$182,$B11,$AH$120:$AH$124,'DB materialer'!AI$3))&lt;&gt;0,(SUMIFS(Effektmåling!$J$178:$J$182,Effektmåling!$D$178:$D$182,$B11,$AH$120:$AH$124,'DB materialer'!AI$3))*-R11,"")</f>
        <v/>
      </c>
      <c r="AJ11" s="29" t="str">
        <f>IF((SUMIFS(Effektmåling!$J$178:$J$182,Effektmåling!$D$178:$D$182,$B11,$AH$120:$AH$124,'DB materialer'!AJ$3))&lt;&gt;0,(SUMIFS(Effektmåling!$J$178:$J$182,Effektmåling!$D$178:$D$182,$B11,$AH$120:$AH$124,'DB materialer'!AJ$3))*-S11,"")</f>
        <v/>
      </c>
      <c r="AK11" s="29" t="str">
        <f>IF((SUMIFS(Effektmåling!$J$178:$J$182,Effektmåling!$D$178:$D$182,$B11,$AH$120:$AH$124,'DB materialer'!AK$3))&lt;&gt;0,(SUMIFS(Effektmåling!$J$178:$J$182,Effektmåling!$D$178:$D$182,$B11,$AH$120:$AH$124,'DB materialer'!AK$3))*-T11,"")</f>
        <v/>
      </c>
      <c r="AM11" s="29" t="str">
        <f>IF((SUMIFS(Effektmåling!$J$163:$J$167,Effektmåling!$D$163:$D$167,$B11,$AO$120:$AO$124,'DB materialer'!AM$3))&lt;&gt;0,(SUMIFS(Effektmåling!$J$163:$J$167,Effektmåling!$D$163:$D$167,$B11,$AO$120:$AO$124,'DB materialer'!AM$3))*(-O11)*($C$122),"")</f>
        <v/>
      </c>
      <c r="AN11" s="29" t="str">
        <f>IF((SUMIFS(Effektmåling!$J$163:$J$167,Effektmåling!$D$163:$D$167,$B11,$AO$120:$AO$124,'DB materialer'!AN$3))&lt;&gt;0,(SUMIFS(Effektmåling!$J$163:$J$167,Effektmåling!$D$163:$D$167,$B11,$AO$120:$AO$124,'DB materialer'!AN$3))*(-P11)*($C$122),"")</f>
        <v/>
      </c>
      <c r="AO11" s="29" t="str">
        <f>IF((SUMIFS(Effektmåling!$J$163:$J$167,Effektmåling!$D$163:$D$167,$B11,$AO$120:$AO$124,'DB materialer'!AO$3))&lt;&gt;0,(SUMIFS(Effektmåling!$J$163:$J$167,Effektmåling!$D$163:$D$167,$B11,$AO$120:$AO$124,'DB materialer'!AO$3))*(-Q11)*($C$122),"")</f>
        <v/>
      </c>
      <c r="AP11" s="29" t="str">
        <f>IF((SUMIFS(Effektmåling!$J$163:$J$167,Effektmåling!$D$163:$D$167,$B11,$AO$120:$AO$124,'DB materialer'!AP$3))&lt;&gt;0,(SUMIFS(Effektmåling!$J$163:$J$167,Effektmåling!$D$163:$D$167,$B11,$AO$120:$AO$124,'DB materialer'!AP$3))*(-R11)*($C$122),"")</f>
        <v/>
      </c>
      <c r="AQ11" s="29" t="str">
        <f>IF((SUMIFS(Effektmåling!$J$163:$J$167,Effektmåling!$D$163:$D$167,$B11,$AO$120:$AO$124,'DB materialer'!AQ$3))&lt;&gt;0,(SUMIFS(Effektmåling!$J$163:$J$167,Effektmåling!$D$163:$D$167,$B11,$AO$120:$AO$124,'DB materialer'!AQ$3))*(-S11)*($C$122),"")</f>
        <v/>
      </c>
      <c r="AR11" s="29" t="str">
        <f>IF((SUMIFS(Effektmåling!$J$163:$J$167,Effektmåling!$D$163:$D$167,$B11,$AO$120:$AO$124,'DB materialer'!AR$3))&lt;&gt;0,(SUMIFS(Effektmåling!$J$163:$J$167,Effektmåling!$D$163:$D$167,$B11,$AO$120:$AO$124,'DB materialer'!AR$3))*(-T11)*($C$122),"")</f>
        <v/>
      </c>
      <c r="AT11" s="30">
        <f t="shared" si="8"/>
        <v>1.0000000000000001E-30</v>
      </c>
      <c r="AU11" s="40">
        <f t="shared" si="9"/>
        <v>0.72040024382511303</v>
      </c>
      <c r="AV11" s="41">
        <f t="shared" si="10"/>
        <v>1.0000000000000001E-30</v>
      </c>
      <c r="AW11" s="40">
        <f t="shared" si="11"/>
        <v>0.72040024382511303</v>
      </c>
      <c r="AX11" s="41">
        <f t="shared" si="12"/>
        <v>1.0000000000000001E-30</v>
      </c>
      <c r="AY11" s="41">
        <f t="shared" si="13"/>
        <v>-0.72040024382511303</v>
      </c>
      <c r="BA11" s="29" t="str">
        <f>IF((SUMIFS(Effektmåling!$J$178:$J$182,Effektmåling!$D$178:$D$182,$B11,$AH$120:$AH$124,BA$3))&lt;&gt;0,(SUMIFS(Effektmåling!$J$178:$J$182,Effektmåling!$D$178:$D$182,$B11,$AH$120:$AH$124,BA$3))*-AT11,"")</f>
        <v/>
      </c>
      <c r="BB11" s="29" t="str">
        <f>IF((SUMIFS(Effektmåling!$J$178:$J$182,Effektmåling!$D$178:$D$182,$B11,$AH$120:$AH$124,BB$3))&lt;&gt;0,(SUMIFS(Effektmåling!$J$178:$J$182,Effektmåling!$D$178:$D$182,$B11,$AH$120:$AH$124,BB$3))*-AU11,"")</f>
        <v/>
      </c>
      <c r="BC11" s="29" t="str">
        <f>IF((SUMIFS(Effektmåling!$J$178:$J$182,Effektmåling!$D$178:$D$182,$B11,$AH$120:$AH$124,BC$3))&lt;&gt;0,(SUMIFS(Effektmåling!$J$178:$J$182,Effektmåling!$D$178:$D$182,$B11,$AH$120:$AH$124,BC$3))*-AV11,"")</f>
        <v/>
      </c>
      <c r="BD11" s="29" t="str">
        <f>IF((SUMIFS(Effektmåling!$J$178:$J$182,Effektmåling!$D$178:$D$182,$B11,$AH$120:$AH$124,BD$3))&lt;&gt;0,(SUMIFS(Effektmåling!$J$178:$J$182,Effektmåling!$D$178:$D$182,$B11,$AH$120:$AH$124,BD$3))*-AW11,"")</f>
        <v/>
      </c>
      <c r="BE11" s="29" t="str">
        <f>IF((SUMIFS(Effektmåling!$J$178:$J$182,Effektmåling!$D$178:$D$182,$B11,$AH$120:$AH$124,BE$3))&lt;&gt;0,(SUMIFS(Effektmåling!$J$178:$J$182,Effektmåling!$D$178:$D$182,$B11,$AH$120:$AH$124,BE$3))*-AX11,"")</f>
        <v/>
      </c>
      <c r="BF11" s="29" t="str">
        <f>IF((SUMIFS(Effektmåling!$J$178:$J$182,Effektmåling!$D$178:$D$182,$B11,$AH$120:$AH$124,BF$3))&lt;&gt;0,(SUMIFS(Effektmåling!$J$178:$J$182,Effektmåling!$D$178:$D$182,$B11,$AH$120:$AH$124,BF$3))*-AY11,"")</f>
        <v/>
      </c>
      <c r="BH11" s="29" t="str">
        <f>IF((SUMIFS(Effektmåling!$J$163:$J$167,Effektmåling!$D$163:$D$167,$B11,$AO$120:$AO$124,BH$3))&lt;&gt;0,(SUMIFS(Effektmåling!$J$163:$J$167,Effektmåling!$D$163:$D$167,$B11,$AO$120:$AO$124,BH$3))*-AT11,"")</f>
        <v/>
      </c>
      <c r="BI11" s="29" t="str">
        <f>IF((SUMIFS(Effektmåling!$J$163:$J$167,Effektmåling!$D$163:$D$167,$B11,$AO$120:$AO$124,BI$3))&lt;&gt;0,(SUMIFS(Effektmåling!$J$163:$J$167,Effektmåling!$D$163:$D$167,$B11,$AO$120:$AO$124,BI$3))*-AU11,"")</f>
        <v/>
      </c>
      <c r="BJ11" s="29" t="str">
        <f>IF((SUMIFS(Effektmåling!$J$163:$J$167,Effektmåling!$D$163:$D$167,$B11,$AO$120:$AO$124,BJ$3))&lt;&gt;0,(SUMIFS(Effektmåling!$J$163:$J$167,Effektmåling!$D$163:$D$167,$B11,$AO$120:$AO$124,BJ$3))*-AV11,"")</f>
        <v/>
      </c>
      <c r="BK11" s="29" t="str">
        <f>IF((SUMIFS(Effektmåling!$J$163:$J$167,Effektmåling!$D$163:$D$167,$B11,$AO$120:$AO$124,BK$3))&lt;&gt;0,(SUMIFS(Effektmåling!$J$163:$J$167,Effektmåling!$D$163:$D$167,$B11,$AO$120:$AO$124,BK$3))*-AW11,"")</f>
        <v/>
      </c>
      <c r="BL11" s="29" t="str">
        <f>IF((SUMIFS(Effektmåling!$J$163:$J$167,Effektmåling!$D$163:$D$167,$B11,$AO$120:$AO$124,BL$3))&lt;&gt;0,(SUMIFS(Effektmåling!$J$163:$J$167,Effektmåling!$D$163:$D$167,$B11,$AO$120:$AO$124,BL$3))*-AX11,"")</f>
        <v/>
      </c>
      <c r="BM11" s="29" t="str">
        <f>IF((SUMIFS(Effektmåling!$J$163:$J$167,Effektmåling!$D$163:$D$167,$B11,$AO$120:$AO$124,BM$3))&lt;&gt;0,(SUMIFS(Effektmåling!$J$163:$J$167,Effektmåling!$D$163:$D$167,$B11,$AO$120:$AO$124,BM$3))*-AY11,"")</f>
        <v/>
      </c>
      <c r="BO11" s="211">
        <f t="shared" ca="1" si="24"/>
        <v>100000</v>
      </c>
      <c r="BP11" s="207" t="str">
        <f t="shared" si="4"/>
        <v>Stål og Jern</v>
      </c>
      <c r="BQ11" s="29">
        <f t="shared" ca="1" si="25"/>
        <v>0</v>
      </c>
      <c r="BR11" s="29">
        <f t="shared" ca="1" si="14"/>
        <v>100000</v>
      </c>
      <c r="BS11" s="29">
        <f t="shared" si="26"/>
        <v>5</v>
      </c>
      <c r="BT11" s="29">
        <f t="shared" ca="1" si="15"/>
        <v>100000</v>
      </c>
      <c r="BU11" s="29">
        <f t="shared" ca="1" si="16"/>
        <v>0</v>
      </c>
      <c r="BV11" s="211">
        <f t="shared" ca="1" si="29"/>
        <v>0</v>
      </c>
      <c r="BW11" s="212">
        <f t="shared" ca="1" si="17"/>
        <v>0</v>
      </c>
      <c r="BY11" s="19" t="e">
        <f t="shared" ref="BY11:BZ11" si="34">AD124</f>
        <v>#N/A</v>
      </c>
      <c r="BZ11" s="19" t="e">
        <f t="shared" si="34"/>
        <v>#N/A</v>
      </c>
      <c r="CA11" s="19" t="e">
        <f t="shared" ref="CA11:CB11" si="35">AS124</f>
        <v>#N/A</v>
      </c>
      <c r="CB11" s="19" t="e">
        <f t="shared" si="35"/>
        <v>#N/A</v>
      </c>
    </row>
    <row r="12" spans="1:80" ht="21" x14ac:dyDescent="0.15">
      <c r="A12" s="19">
        <f t="shared" si="5"/>
        <v>8</v>
      </c>
      <c r="B12" s="19" t="s">
        <v>254</v>
      </c>
      <c r="C12" s="19">
        <v>1</v>
      </c>
      <c r="D12" s="170">
        <v>4.6790000000000003</v>
      </c>
      <c r="E12" s="22">
        <v>1.7000000000000001E-2</v>
      </c>
      <c r="F12" s="24">
        <v>6.2E-2</v>
      </c>
      <c r="G12" s="107">
        <v>3.1349300000000002</v>
      </c>
      <c r="H12" s="119">
        <v>0</v>
      </c>
      <c r="I12" s="126">
        <v>1</v>
      </c>
      <c r="J12" s="119">
        <v>0</v>
      </c>
      <c r="K12" s="74">
        <v>0</v>
      </c>
      <c r="L12" s="130">
        <v>4.5809418587721336</v>
      </c>
      <c r="M12" s="74">
        <v>0</v>
      </c>
      <c r="O12" s="142">
        <f t="shared" si="18"/>
        <v>4.4999999999999998E-2</v>
      </c>
      <c r="P12" s="142">
        <f t="shared" si="19"/>
        <v>3.1179300000000003</v>
      </c>
      <c r="Q12" s="142">
        <f t="shared" si="20"/>
        <v>-1.7000000000000001E-2</v>
      </c>
      <c r="R12" s="142">
        <f t="shared" si="21"/>
        <v>3.0729300000000004</v>
      </c>
      <c r="S12" s="142">
        <f t="shared" si="22"/>
        <v>-6.2E-2</v>
      </c>
      <c r="T12" s="142">
        <f t="shared" si="23"/>
        <v>-3.1349300000000002</v>
      </c>
      <c r="V12" s="29">
        <f ca="1">SUMIF(Effektmåling!$D$53:$E$57,'DB materialer'!B12,Effektmåling!$H$53:$H$57)</f>
        <v>0</v>
      </c>
      <c r="W12" s="477" t="str">
        <f ca="1">IF((V12*D12)=0,"",IF(Effektmåling!$Q$241="Ja",1.3*(V12*D12),V12*D12))</f>
        <v/>
      </c>
      <c r="X12" s="29" t="str">
        <f ca="1">IF(W12="","",RANK(W12,$W$7:$W$56,0)+COUNTIF($W$7:W12,W12)-1)</f>
        <v/>
      </c>
      <c r="Y12" s="29" t="str">
        <f t="shared" ca="1" si="6"/>
        <v/>
      </c>
      <c r="AA12" s="29">
        <f ca="1">$C$122*SUMIF(Effektmåling!$D$128:$E$132,'DB materialer'!$B12,Effektmåling!$I$128:$I$132)</f>
        <v>0</v>
      </c>
      <c r="AB12" s="477" t="str">
        <f ca="1">IF((AA12*D12)=0,"",IF(Effektmåling!$Q$241="Ja",1.3*(AA12*D12),AA12*D12))</f>
        <v/>
      </c>
      <c r="AC12" s="29" t="str">
        <f ca="1">IF(AB12="","",RANK(AB12,$AB$7:$AB$56,0)+COUNTIF($AB$7:AB12,AB12)-1)</f>
        <v/>
      </c>
      <c r="AD12" s="29" t="str">
        <f t="shared" ca="1" si="7"/>
        <v/>
      </c>
      <c r="AE12" s="29"/>
      <c r="AF12" s="29" t="str">
        <f>IF((SUMIFS(Effektmåling!$J$178:$J$182,Effektmåling!$D$178:$D$182,$B12,$AH$120:$AH$124,'DB materialer'!AF$3))&lt;&gt;0,(SUMIFS(Effektmåling!$J$178:$J$182,Effektmåling!$D$178:$D$182,$B12,$AH$120:$AH$124,'DB materialer'!AF$3))*-O12,"")</f>
        <v/>
      </c>
      <c r="AG12" s="29" t="str">
        <f>IF((SUMIFS(Effektmåling!$J$178:$J$182,Effektmåling!$D$178:$D$182,$B12,$AH$120:$AH$124,'DB materialer'!AG$3))&lt;&gt;0,(SUMIFS(Effektmåling!$J$178:$J$182,Effektmåling!$D$178:$D$182,$B12,$AH$120:$AH$124,'DB materialer'!AG$3))*-P12,"")</f>
        <v/>
      </c>
      <c r="AH12" s="29" t="str">
        <f>IF((SUMIFS(Effektmåling!$J$178:$J$182,Effektmåling!$D$178:$D$182,$B12,$AH$120:$AH$124,'DB materialer'!AH$3))&lt;&gt;0,(SUMIFS(Effektmåling!$J$178:$J$182,Effektmåling!$D$178:$D$182,$B12,$AH$120:$AH$124,'DB materialer'!AH$3))*-Q12,"")</f>
        <v/>
      </c>
      <c r="AI12" s="29" t="str">
        <f>IF((SUMIFS(Effektmåling!$J$178:$J$182,Effektmåling!$D$178:$D$182,$B12,$AH$120:$AH$124,'DB materialer'!AI$3))&lt;&gt;0,(SUMIFS(Effektmåling!$J$178:$J$182,Effektmåling!$D$178:$D$182,$B12,$AH$120:$AH$124,'DB materialer'!AI$3))*-R12,"")</f>
        <v/>
      </c>
      <c r="AJ12" s="29" t="str">
        <f>IF((SUMIFS(Effektmåling!$J$178:$J$182,Effektmåling!$D$178:$D$182,$B12,$AH$120:$AH$124,'DB materialer'!AJ$3))&lt;&gt;0,(SUMIFS(Effektmåling!$J$178:$J$182,Effektmåling!$D$178:$D$182,$B12,$AH$120:$AH$124,'DB materialer'!AJ$3))*-S12,"")</f>
        <v/>
      </c>
      <c r="AK12" s="29" t="str">
        <f>IF((SUMIFS(Effektmåling!$J$178:$J$182,Effektmåling!$D$178:$D$182,$B12,$AH$120:$AH$124,'DB materialer'!AK$3))&lt;&gt;0,(SUMIFS(Effektmåling!$J$178:$J$182,Effektmåling!$D$178:$D$182,$B12,$AH$120:$AH$124,'DB materialer'!AK$3))*-T12,"")</f>
        <v/>
      </c>
      <c r="AM12" s="29" t="str">
        <f>IF((SUMIFS(Effektmåling!$J$163:$J$167,Effektmåling!$D$163:$D$167,$B12,$AO$120:$AO$124,'DB materialer'!AM$3))&lt;&gt;0,(SUMIFS(Effektmåling!$J$163:$J$167,Effektmåling!$D$163:$D$167,$B12,$AO$120:$AO$124,'DB materialer'!AM$3))*(-O12)*($C$122),"")</f>
        <v/>
      </c>
      <c r="AN12" s="29" t="str">
        <f>IF((SUMIFS(Effektmåling!$J$163:$J$167,Effektmåling!$D$163:$D$167,$B12,$AO$120:$AO$124,'DB materialer'!AN$3))&lt;&gt;0,(SUMIFS(Effektmåling!$J$163:$J$167,Effektmåling!$D$163:$D$167,$B12,$AO$120:$AO$124,'DB materialer'!AN$3))*(-P12)*($C$122),"")</f>
        <v/>
      </c>
      <c r="AO12" s="29" t="str">
        <f>IF((SUMIFS(Effektmåling!$J$163:$J$167,Effektmåling!$D$163:$D$167,$B12,$AO$120:$AO$124,'DB materialer'!AO$3))&lt;&gt;0,(SUMIFS(Effektmåling!$J$163:$J$167,Effektmåling!$D$163:$D$167,$B12,$AO$120:$AO$124,'DB materialer'!AO$3))*(-Q12)*($C$122),"")</f>
        <v/>
      </c>
      <c r="AP12" s="29" t="str">
        <f>IF((SUMIFS(Effektmåling!$J$163:$J$167,Effektmåling!$D$163:$D$167,$B12,$AO$120:$AO$124,'DB materialer'!AP$3))&lt;&gt;0,(SUMIFS(Effektmåling!$J$163:$J$167,Effektmåling!$D$163:$D$167,$B12,$AO$120:$AO$124,'DB materialer'!AP$3))*(-R12)*($C$122),"")</f>
        <v/>
      </c>
      <c r="AQ12" s="29" t="str">
        <f>IF((SUMIFS(Effektmåling!$J$163:$J$167,Effektmåling!$D$163:$D$167,$B12,$AO$120:$AO$124,'DB materialer'!AQ$3))&lt;&gt;0,(SUMIFS(Effektmåling!$J$163:$J$167,Effektmåling!$D$163:$D$167,$B12,$AO$120:$AO$124,'DB materialer'!AQ$3))*(-S12)*($C$122),"")</f>
        <v/>
      </c>
      <c r="AR12" s="29" t="str">
        <f>IF((SUMIFS(Effektmåling!$J$163:$J$167,Effektmåling!$D$163:$D$167,$B12,$AO$120:$AO$124,'DB materialer'!AR$3))&lt;&gt;0,(SUMIFS(Effektmåling!$J$163:$J$167,Effektmåling!$D$163:$D$167,$B12,$AO$120:$AO$124,'DB materialer'!AR$3))*(-T12)*($C$122),"")</f>
        <v/>
      </c>
      <c r="AT12" s="30">
        <f t="shared" si="8"/>
        <v>1.0000000000000001E-30</v>
      </c>
      <c r="AU12" s="40">
        <f t="shared" si="9"/>
        <v>4.5809418587721336</v>
      </c>
      <c r="AV12" s="41">
        <f t="shared" si="10"/>
        <v>1.0000000000000001E-30</v>
      </c>
      <c r="AW12" s="40">
        <f t="shared" si="11"/>
        <v>4.5809418587721336</v>
      </c>
      <c r="AX12" s="41">
        <f t="shared" si="12"/>
        <v>1.0000000000000001E-30</v>
      </c>
      <c r="AY12" s="41">
        <f t="shared" si="13"/>
        <v>-4.5809418587721336</v>
      </c>
      <c r="BA12" s="29" t="str">
        <f>IF((SUMIFS(Effektmåling!$J$178:$J$182,Effektmåling!$D$178:$D$182,$B12,$AH$120:$AH$124,BA$3))&lt;&gt;0,(SUMIFS(Effektmåling!$J$178:$J$182,Effektmåling!$D$178:$D$182,$B12,$AH$120:$AH$124,BA$3))*-AT12,"")</f>
        <v/>
      </c>
      <c r="BB12" s="29" t="str">
        <f>IF((SUMIFS(Effektmåling!$J$178:$J$182,Effektmåling!$D$178:$D$182,$B12,$AH$120:$AH$124,BB$3))&lt;&gt;0,(SUMIFS(Effektmåling!$J$178:$J$182,Effektmåling!$D$178:$D$182,$B12,$AH$120:$AH$124,BB$3))*-AU12,"")</f>
        <v/>
      </c>
      <c r="BC12" s="29" t="str">
        <f>IF((SUMIFS(Effektmåling!$J$178:$J$182,Effektmåling!$D$178:$D$182,$B12,$AH$120:$AH$124,BC$3))&lt;&gt;0,(SUMIFS(Effektmåling!$J$178:$J$182,Effektmåling!$D$178:$D$182,$B12,$AH$120:$AH$124,BC$3))*-AV12,"")</f>
        <v/>
      </c>
      <c r="BD12" s="29" t="str">
        <f>IF((SUMIFS(Effektmåling!$J$178:$J$182,Effektmåling!$D$178:$D$182,$B12,$AH$120:$AH$124,BD$3))&lt;&gt;0,(SUMIFS(Effektmåling!$J$178:$J$182,Effektmåling!$D$178:$D$182,$B12,$AH$120:$AH$124,BD$3))*-AW12,"")</f>
        <v/>
      </c>
      <c r="BE12" s="29" t="str">
        <f>IF((SUMIFS(Effektmåling!$J$178:$J$182,Effektmåling!$D$178:$D$182,$B12,$AH$120:$AH$124,BE$3))&lt;&gt;0,(SUMIFS(Effektmåling!$J$178:$J$182,Effektmåling!$D$178:$D$182,$B12,$AH$120:$AH$124,BE$3))*-AX12,"")</f>
        <v/>
      </c>
      <c r="BF12" s="29" t="str">
        <f>IF((SUMIFS(Effektmåling!$J$178:$J$182,Effektmåling!$D$178:$D$182,$B12,$AH$120:$AH$124,BF$3))&lt;&gt;0,(SUMIFS(Effektmåling!$J$178:$J$182,Effektmåling!$D$178:$D$182,$B12,$AH$120:$AH$124,BF$3))*-AY12,"")</f>
        <v/>
      </c>
      <c r="BH12" s="29" t="str">
        <f>IF((SUMIFS(Effektmåling!$J$163:$J$167,Effektmåling!$D$163:$D$167,$B12,$AO$120:$AO$124,BH$3))&lt;&gt;0,(SUMIFS(Effektmåling!$J$163:$J$167,Effektmåling!$D$163:$D$167,$B12,$AO$120:$AO$124,BH$3))*-AT12,"")</f>
        <v/>
      </c>
      <c r="BI12" s="29" t="str">
        <f>IF((SUMIFS(Effektmåling!$J$163:$J$167,Effektmåling!$D$163:$D$167,$B12,$AO$120:$AO$124,BI$3))&lt;&gt;0,(SUMIFS(Effektmåling!$J$163:$J$167,Effektmåling!$D$163:$D$167,$B12,$AO$120:$AO$124,BI$3))*-AU12,"")</f>
        <v/>
      </c>
      <c r="BJ12" s="29" t="str">
        <f>IF((SUMIFS(Effektmåling!$J$163:$J$167,Effektmåling!$D$163:$D$167,$B12,$AO$120:$AO$124,BJ$3))&lt;&gt;0,(SUMIFS(Effektmåling!$J$163:$J$167,Effektmåling!$D$163:$D$167,$B12,$AO$120:$AO$124,BJ$3))*-AV12,"")</f>
        <v/>
      </c>
      <c r="BK12" s="29" t="str">
        <f>IF((SUMIFS(Effektmåling!$J$163:$J$167,Effektmåling!$D$163:$D$167,$B12,$AO$120:$AO$124,BK$3))&lt;&gt;0,(SUMIFS(Effektmåling!$J$163:$J$167,Effektmåling!$D$163:$D$167,$B12,$AO$120:$AO$124,BK$3))*-AW12,"")</f>
        <v/>
      </c>
      <c r="BL12" s="29" t="str">
        <f>IF((SUMIFS(Effektmåling!$J$163:$J$167,Effektmåling!$D$163:$D$167,$B12,$AO$120:$AO$124,BL$3))&lt;&gt;0,(SUMIFS(Effektmåling!$J$163:$J$167,Effektmåling!$D$163:$D$167,$B12,$AO$120:$AO$124,BL$3))*-AX12,"")</f>
        <v/>
      </c>
      <c r="BM12" s="29" t="str">
        <f>IF((SUMIFS(Effektmåling!$J$163:$J$167,Effektmåling!$D$163:$D$167,$B12,$AO$120:$AO$124,BM$3))&lt;&gt;0,(SUMIFS(Effektmåling!$J$163:$J$167,Effektmåling!$D$163:$D$167,$B12,$AO$120:$AO$124,BM$3))*-AY12,"")</f>
        <v/>
      </c>
      <c r="BO12" s="211">
        <f t="shared" ca="1" si="24"/>
        <v>100000</v>
      </c>
      <c r="BP12" s="207" t="str">
        <f t="shared" si="4"/>
        <v>Stål, rustfrit</v>
      </c>
      <c r="BQ12" s="29">
        <f t="shared" ca="1" si="25"/>
        <v>0</v>
      </c>
      <c r="BR12" s="29">
        <f t="shared" ca="1" si="14"/>
        <v>100000</v>
      </c>
      <c r="BS12" s="29">
        <f t="shared" si="26"/>
        <v>6</v>
      </c>
      <c r="BT12" s="29">
        <f t="shared" ca="1" si="15"/>
        <v>100000</v>
      </c>
      <c r="BU12" s="29">
        <f t="shared" ca="1" si="16"/>
        <v>0</v>
      </c>
      <c r="BV12" s="211">
        <f t="shared" ca="1" si="29"/>
        <v>0</v>
      </c>
      <c r="BW12" s="212">
        <f t="shared" ca="1" si="17"/>
        <v>0</v>
      </c>
    </row>
    <row r="13" spans="1:80" x14ac:dyDescent="0.15">
      <c r="A13" s="19">
        <f t="shared" si="5"/>
        <v>9</v>
      </c>
      <c r="B13" s="19" t="s">
        <v>255</v>
      </c>
      <c r="C13" s="19">
        <v>1</v>
      </c>
      <c r="D13" s="100">
        <v>17.213999999999999</v>
      </c>
      <c r="E13" s="24">
        <v>1.7000000000000001E-2</v>
      </c>
      <c r="F13" s="24">
        <v>6.2E-2</v>
      </c>
      <c r="G13" s="108"/>
      <c r="H13" s="119">
        <v>0</v>
      </c>
      <c r="I13" s="125">
        <v>69523.997629863705</v>
      </c>
      <c r="J13" s="119">
        <v>0</v>
      </c>
      <c r="K13" s="74">
        <v>0</v>
      </c>
      <c r="L13" s="131"/>
      <c r="M13" s="74">
        <v>0</v>
      </c>
      <c r="O13" s="142">
        <f t="shared" si="18"/>
        <v>4.4999999999999998E-2</v>
      </c>
      <c r="P13" s="142">
        <f t="shared" si="19"/>
        <v>-1.7000000000000001E-2</v>
      </c>
      <c r="Q13" s="142">
        <f t="shared" si="20"/>
        <v>-1.7000000000000001E-2</v>
      </c>
      <c r="R13" s="142">
        <f t="shared" si="21"/>
        <v>-6.2E-2</v>
      </c>
      <c r="S13" s="142">
        <f t="shared" si="22"/>
        <v>-6.2E-2</v>
      </c>
      <c r="T13" s="142">
        <f t="shared" si="23"/>
        <v>0</v>
      </c>
      <c r="V13" s="29">
        <f ca="1">SUMIF(Effektmåling!$D$53:$E$57,'DB materialer'!B13,Effektmåling!$H$53:$H$57)</f>
        <v>0</v>
      </c>
      <c r="W13" s="477" t="str">
        <f ca="1">IF((V13*D13)=0,"",IF(Effektmåling!$Q$241="Ja",1.3*(V13*D13),V13*D13))</f>
        <v/>
      </c>
      <c r="X13" s="29" t="str">
        <f ca="1">IF(W13="","",RANK(W13,$W$7:$W$56,0)+COUNTIF($W$7:W13,W13)-1)</f>
        <v/>
      </c>
      <c r="Y13" s="29" t="str">
        <f t="shared" ca="1" si="6"/>
        <v/>
      </c>
      <c r="AA13" s="29">
        <f ca="1">$C$122*SUMIF(Effektmåling!$D$128:$E$132,'DB materialer'!$B13,Effektmåling!$I$128:$I$132)</f>
        <v>0</v>
      </c>
      <c r="AB13" s="477" t="str">
        <f ca="1">IF((AA13*D13)=0,"",IF(Effektmåling!$Q$241="Ja",1.3*(AA13*D13),AA13*D13))</f>
        <v/>
      </c>
      <c r="AC13" s="29" t="str">
        <f ca="1">IF(AB13="","",RANK(AB13,$AB$7:$AB$56,0)+COUNTIF($AB$7:AB13,AB13)-1)</f>
        <v/>
      </c>
      <c r="AD13" s="29" t="str">
        <f t="shared" ca="1" si="7"/>
        <v/>
      </c>
      <c r="AE13" s="29"/>
      <c r="AF13" s="29" t="str">
        <f>IF((SUMIFS(Effektmåling!$J$178:$J$182,Effektmåling!$D$178:$D$182,$B13,$AH$120:$AH$124,'DB materialer'!AF$3))&lt;&gt;0,(SUMIFS(Effektmåling!$J$178:$J$182,Effektmåling!$D$178:$D$182,$B13,$AH$120:$AH$124,'DB materialer'!AF$3))*-O13,"")</f>
        <v/>
      </c>
      <c r="AG13" s="29" t="str">
        <f>IF((SUMIFS(Effektmåling!$J$178:$J$182,Effektmåling!$D$178:$D$182,$B13,$AH$120:$AH$124,'DB materialer'!AG$3))&lt;&gt;0,(SUMIFS(Effektmåling!$J$178:$J$182,Effektmåling!$D$178:$D$182,$B13,$AH$120:$AH$124,'DB materialer'!AG$3))*-P13,"")</f>
        <v/>
      </c>
      <c r="AH13" s="29" t="str">
        <f>IF((SUMIFS(Effektmåling!$J$178:$J$182,Effektmåling!$D$178:$D$182,$B13,$AH$120:$AH$124,'DB materialer'!AH$3))&lt;&gt;0,(SUMIFS(Effektmåling!$J$178:$J$182,Effektmåling!$D$178:$D$182,$B13,$AH$120:$AH$124,'DB materialer'!AH$3))*-Q13,"")</f>
        <v/>
      </c>
      <c r="AI13" s="29" t="str">
        <f>IF((SUMIFS(Effektmåling!$J$178:$J$182,Effektmåling!$D$178:$D$182,$B13,$AH$120:$AH$124,'DB materialer'!AI$3))&lt;&gt;0,(SUMIFS(Effektmåling!$J$178:$J$182,Effektmåling!$D$178:$D$182,$B13,$AH$120:$AH$124,'DB materialer'!AI$3))*-R13,"")</f>
        <v/>
      </c>
      <c r="AJ13" s="29" t="str">
        <f>IF((SUMIFS(Effektmåling!$J$178:$J$182,Effektmåling!$D$178:$D$182,$B13,$AH$120:$AH$124,'DB materialer'!AJ$3))&lt;&gt;0,(SUMIFS(Effektmåling!$J$178:$J$182,Effektmåling!$D$178:$D$182,$B13,$AH$120:$AH$124,'DB materialer'!AJ$3))*-S13,"")</f>
        <v/>
      </c>
      <c r="AK13" s="29" t="str">
        <f>IF((SUMIFS(Effektmåling!$J$178:$J$182,Effektmåling!$D$178:$D$182,$B13,$AH$120:$AH$124,'DB materialer'!AK$3))&lt;&gt;0,(SUMIFS(Effektmåling!$J$178:$J$182,Effektmåling!$D$178:$D$182,$B13,$AH$120:$AH$124,'DB materialer'!AK$3))*-T13,"")</f>
        <v/>
      </c>
      <c r="AM13" s="29" t="str">
        <f>IF((SUMIFS(Effektmåling!$J$163:$J$167,Effektmåling!$D$163:$D$167,$B13,$AO$120:$AO$124,'DB materialer'!AM$3))&lt;&gt;0,(SUMIFS(Effektmåling!$J$163:$J$167,Effektmåling!$D$163:$D$167,$B13,$AO$120:$AO$124,'DB materialer'!AM$3))*(-O13)*($C$122),"")</f>
        <v/>
      </c>
      <c r="AN13" s="29" t="str">
        <f>IF((SUMIFS(Effektmåling!$J$163:$J$167,Effektmåling!$D$163:$D$167,$B13,$AO$120:$AO$124,'DB materialer'!AN$3))&lt;&gt;0,(SUMIFS(Effektmåling!$J$163:$J$167,Effektmåling!$D$163:$D$167,$B13,$AO$120:$AO$124,'DB materialer'!AN$3))*(-P13)*($C$122),"")</f>
        <v/>
      </c>
      <c r="AO13" s="29" t="str">
        <f>IF((SUMIFS(Effektmåling!$J$163:$J$167,Effektmåling!$D$163:$D$167,$B13,$AO$120:$AO$124,'DB materialer'!AO$3))&lt;&gt;0,(SUMIFS(Effektmåling!$J$163:$J$167,Effektmåling!$D$163:$D$167,$B13,$AO$120:$AO$124,'DB materialer'!AO$3))*(-Q13)*($C$122),"")</f>
        <v/>
      </c>
      <c r="AP13" s="29" t="str">
        <f>IF((SUMIFS(Effektmåling!$J$163:$J$167,Effektmåling!$D$163:$D$167,$B13,$AO$120:$AO$124,'DB materialer'!AP$3))&lt;&gt;0,(SUMIFS(Effektmåling!$J$163:$J$167,Effektmåling!$D$163:$D$167,$B13,$AO$120:$AO$124,'DB materialer'!AP$3))*(-R13)*($C$122),"")</f>
        <v/>
      </c>
      <c r="AQ13" s="29" t="str">
        <f>IF((SUMIFS(Effektmåling!$J$163:$J$167,Effektmåling!$D$163:$D$167,$B13,$AO$120:$AO$124,'DB materialer'!AQ$3))&lt;&gt;0,(SUMIFS(Effektmåling!$J$163:$J$167,Effektmåling!$D$163:$D$167,$B13,$AO$120:$AO$124,'DB materialer'!AQ$3))*(-S13)*($C$122),"")</f>
        <v/>
      </c>
      <c r="AR13" s="29" t="str">
        <f>IF((SUMIFS(Effektmåling!$J$163:$J$167,Effektmåling!$D$163:$D$167,$B13,$AO$120:$AO$124,'DB materialer'!AR$3))&lt;&gt;0,(SUMIFS(Effektmåling!$J$163:$J$167,Effektmåling!$D$163:$D$167,$B13,$AO$120:$AO$124,'DB materialer'!AR$3))*(-T13)*($C$122),"")</f>
        <v/>
      </c>
      <c r="AT13" s="30">
        <f t="shared" si="8"/>
        <v>1.0000000000000001E-30</v>
      </c>
      <c r="AU13" s="40">
        <f t="shared" si="9"/>
        <v>1.0000000000000001E-30</v>
      </c>
      <c r="AV13" s="41">
        <f t="shared" si="10"/>
        <v>1.0000000000000001E-30</v>
      </c>
      <c r="AW13" s="40">
        <f t="shared" si="11"/>
        <v>1.0000000000000001E-30</v>
      </c>
      <c r="AX13" s="41">
        <f t="shared" si="12"/>
        <v>1.0000000000000001E-30</v>
      </c>
      <c r="AY13" s="41">
        <f t="shared" si="13"/>
        <v>1.0000000000000001E-30</v>
      </c>
      <c r="BA13" s="29" t="str">
        <f>IF((SUMIFS(Effektmåling!$J$178:$J$182,Effektmåling!$D$178:$D$182,$B13,$AH$120:$AH$124,BA$3))&lt;&gt;0,(SUMIFS(Effektmåling!$J$178:$J$182,Effektmåling!$D$178:$D$182,$B13,$AH$120:$AH$124,BA$3))*-AT13,"")</f>
        <v/>
      </c>
      <c r="BB13" s="29" t="str">
        <f>IF((SUMIFS(Effektmåling!$J$178:$J$182,Effektmåling!$D$178:$D$182,$B13,$AH$120:$AH$124,BB$3))&lt;&gt;0,(SUMIFS(Effektmåling!$J$178:$J$182,Effektmåling!$D$178:$D$182,$B13,$AH$120:$AH$124,BB$3))*-AU13,"")</f>
        <v/>
      </c>
      <c r="BC13" s="29" t="str">
        <f>IF((SUMIFS(Effektmåling!$J$178:$J$182,Effektmåling!$D$178:$D$182,$B13,$AH$120:$AH$124,BC$3))&lt;&gt;0,(SUMIFS(Effektmåling!$J$178:$J$182,Effektmåling!$D$178:$D$182,$B13,$AH$120:$AH$124,BC$3))*-AV13,"")</f>
        <v/>
      </c>
      <c r="BD13" s="29" t="str">
        <f>IF((SUMIFS(Effektmåling!$J$178:$J$182,Effektmåling!$D$178:$D$182,$B13,$AH$120:$AH$124,BD$3))&lt;&gt;0,(SUMIFS(Effektmåling!$J$178:$J$182,Effektmåling!$D$178:$D$182,$B13,$AH$120:$AH$124,BD$3))*-AW13,"")</f>
        <v/>
      </c>
      <c r="BE13" s="29" t="str">
        <f>IF((SUMIFS(Effektmåling!$J$178:$J$182,Effektmåling!$D$178:$D$182,$B13,$AH$120:$AH$124,BE$3))&lt;&gt;0,(SUMIFS(Effektmåling!$J$178:$J$182,Effektmåling!$D$178:$D$182,$B13,$AH$120:$AH$124,BE$3))*-AX13,"")</f>
        <v/>
      </c>
      <c r="BF13" s="29" t="str">
        <f>IF((SUMIFS(Effektmåling!$J$178:$J$182,Effektmåling!$D$178:$D$182,$B13,$AH$120:$AH$124,BF$3))&lt;&gt;0,(SUMIFS(Effektmåling!$J$178:$J$182,Effektmåling!$D$178:$D$182,$B13,$AH$120:$AH$124,BF$3))*-AY13,"")</f>
        <v/>
      </c>
      <c r="BH13" s="29" t="str">
        <f>IF((SUMIFS(Effektmåling!$J$163:$J$167,Effektmåling!$D$163:$D$167,$B13,$AO$120:$AO$124,BH$3))&lt;&gt;0,(SUMIFS(Effektmåling!$J$163:$J$167,Effektmåling!$D$163:$D$167,$B13,$AO$120:$AO$124,BH$3))*-AT13,"")</f>
        <v/>
      </c>
      <c r="BI13" s="29" t="str">
        <f>IF((SUMIFS(Effektmåling!$J$163:$J$167,Effektmåling!$D$163:$D$167,$B13,$AO$120:$AO$124,BI$3))&lt;&gt;0,(SUMIFS(Effektmåling!$J$163:$J$167,Effektmåling!$D$163:$D$167,$B13,$AO$120:$AO$124,BI$3))*-AU13,"")</f>
        <v/>
      </c>
      <c r="BJ13" s="29" t="str">
        <f>IF((SUMIFS(Effektmåling!$J$163:$J$167,Effektmåling!$D$163:$D$167,$B13,$AO$120:$AO$124,BJ$3))&lt;&gt;0,(SUMIFS(Effektmåling!$J$163:$J$167,Effektmåling!$D$163:$D$167,$B13,$AO$120:$AO$124,BJ$3))*-AV13,"")</f>
        <v/>
      </c>
      <c r="BK13" s="29" t="str">
        <f>IF((SUMIFS(Effektmåling!$J$163:$J$167,Effektmåling!$D$163:$D$167,$B13,$AO$120:$AO$124,BK$3))&lt;&gt;0,(SUMIFS(Effektmåling!$J$163:$J$167,Effektmåling!$D$163:$D$167,$B13,$AO$120:$AO$124,BK$3))*-AW13,"")</f>
        <v/>
      </c>
      <c r="BL13" s="29" t="str">
        <f>IF((SUMIFS(Effektmåling!$J$163:$J$167,Effektmåling!$D$163:$D$167,$B13,$AO$120:$AO$124,BL$3))&lt;&gt;0,(SUMIFS(Effektmåling!$J$163:$J$167,Effektmåling!$D$163:$D$167,$B13,$AO$120:$AO$124,BL$3))*-AX13,"")</f>
        <v/>
      </c>
      <c r="BM13" s="29" t="str">
        <f>IF((SUMIFS(Effektmåling!$J$163:$J$167,Effektmåling!$D$163:$D$167,$B13,$AO$120:$AO$124,BM$3))&lt;&gt;0,(SUMIFS(Effektmåling!$J$163:$J$167,Effektmåling!$D$163:$D$167,$B13,$AO$120:$AO$124,BM$3))*-AY13,"")</f>
        <v/>
      </c>
      <c r="BO13" s="211">
        <f t="shared" ca="1" si="24"/>
        <v>100000</v>
      </c>
      <c r="BP13" s="207" t="str">
        <f t="shared" si="4"/>
        <v>Tin</v>
      </c>
      <c r="BQ13" s="29">
        <f t="shared" ca="1" si="25"/>
        <v>0</v>
      </c>
      <c r="BR13" s="29">
        <f t="shared" ca="1" si="14"/>
        <v>100000</v>
      </c>
      <c r="BS13" s="29">
        <f t="shared" si="26"/>
        <v>7</v>
      </c>
      <c r="BT13" s="29">
        <f t="shared" ca="1" si="15"/>
        <v>100000</v>
      </c>
      <c r="BU13" s="29">
        <f t="shared" ca="1" si="16"/>
        <v>0</v>
      </c>
      <c r="BV13" s="211">
        <f t="shared" ca="1" si="29"/>
        <v>0</v>
      </c>
      <c r="BW13" s="212">
        <f t="shared" ca="1" si="17"/>
        <v>0</v>
      </c>
    </row>
    <row r="14" spans="1:80" x14ac:dyDescent="0.15">
      <c r="A14" s="19">
        <f t="shared" si="5"/>
        <v>10</v>
      </c>
      <c r="B14" s="19" t="s">
        <v>256</v>
      </c>
      <c r="C14" s="19">
        <v>1</v>
      </c>
      <c r="D14" s="100">
        <v>5.0250000000000004</v>
      </c>
      <c r="E14" s="24">
        <v>1.7000000000000001E-2</v>
      </c>
      <c r="F14" s="24">
        <v>6.2E-2</v>
      </c>
      <c r="G14" s="107">
        <v>1.6331249999999999</v>
      </c>
      <c r="H14" s="119">
        <v>0</v>
      </c>
      <c r="I14" s="125">
        <v>2198.7951807228901</v>
      </c>
      <c r="J14" s="119">
        <v>0</v>
      </c>
      <c r="K14" s="74">
        <v>0</v>
      </c>
      <c r="L14" s="130">
        <v>2.3864171363020033</v>
      </c>
      <c r="M14" s="74">
        <v>0</v>
      </c>
      <c r="O14" s="142">
        <f t="shared" si="18"/>
        <v>4.4999999999999998E-2</v>
      </c>
      <c r="P14" s="142">
        <f t="shared" si="19"/>
        <v>1.616125</v>
      </c>
      <c r="Q14" s="142">
        <f t="shared" si="20"/>
        <v>-1.7000000000000001E-2</v>
      </c>
      <c r="R14" s="142">
        <f t="shared" si="21"/>
        <v>1.5711249999999999</v>
      </c>
      <c r="S14" s="142">
        <f t="shared" si="22"/>
        <v>-6.2E-2</v>
      </c>
      <c r="T14" s="142">
        <f t="shared" si="23"/>
        <v>-1.6331249999999999</v>
      </c>
      <c r="V14" s="29">
        <f ca="1">SUMIF(Effektmåling!$D$53:$E$57,'DB materialer'!B14,Effektmåling!$H$53:$H$57)</f>
        <v>0</v>
      </c>
      <c r="W14" s="477" t="str">
        <f ca="1">IF((V14*D14)=0,"",IF(Effektmåling!$Q$241="Ja",1.3*(V14*D14),V14*D14))</f>
        <v/>
      </c>
      <c r="X14" s="29" t="str">
        <f ca="1">IF(W14="","",RANK(W14,$W$7:$W$56,0)+COUNTIF($W$7:W14,W14)-1)</f>
        <v/>
      </c>
      <c r="Y14" s="29" t="str">
        <f t="shared" ca="1" si="6"/>
        <v/>
      </c>
      <c r="AA14" s="29">
        <f ca="1">$C$122*SUMIF(Effektmåling!$D$128:$E$132,'DB materialer'!$B14,Effektmåling!$I$128:$I$132)</f>
        <v>0</v>
      </c>
      <c r="AB14" s="477" t="str">
        <f ca="1">IF((AA14*D14)=0,"",IF(Effektmåling!$Q$241="Ja",1.3*(AA14*D14),AA14*D14))</f>
        <v/>
      </c>
      <c r="AC14" s="29" t="str">
        <f ca="1">IF(AB14="","",RANK(AB14,$AB$7:$AB$56,0)+COUNTIF($AB$7:AB14,AB14)-1)</f>
        <v/>
      </c>
      <c r="AD14" s="29" t="str">
        <f t="shared" ca="1" si="7"/>
        <v/>
      </c>
      <c r="AE14" s="29"/>
      <c r="AF14" s="29" t="str">
        <f>IF((SUMIFS(Effektmåling!$J$178:$J$182,Effektmåling!$D$178:$D$182,$B14,$AH$120:$AH$124,'DB materialer'!AF$3))&lt;&gt;0,(SUMIFS(Effektmåling!$J$178:$J$182,Effektmåling!$D$178:$D$182,$B14,$AH$120:$AH$124,'DB materialer'!AF$3))*-O14,"")</f>
        <v/>
      </c>
      <c r="AG14" s="29" t="str">
        <f>IF((SUMIFS(Effektmåling!$J$178:$J$182,Effektmåling!$D$178:$D$182,$B14,$AH$120:$AH$124,'DB materialer'!AG$3))&lt;&gt;0,(SUMIFS(Effektmåling!$J$178:$J$182,Effektmåling!$D$178:$D$182,$B14,$AH$120:$AH$124,'DB materialer'!AG$3))*-P14,"")</f>
        <v/>
      </c>
      <c r="AH14" s="29" t="str">
        <f>IF((SUMIFS(Effektmåling!$J$178:$J$182,Effektmåling!$D$178:$D$182,$B14,$AH$120:$AH$124,'DB materialer'!AH$3))&lt;&gt;0,(SUMIFS(Effektmåling!$J$178:$J$182,Effektmåling!$D$178:$D$182,$B14,$AH$120:$AH$124,'DB materialer'!AH$3))*-Q14,"")</f>
        <v/>
      </c>
      <c r="AI14" s="29" t="str">
        <f>IF((SUMIFS(Effektmåling!$J$178:$J$182,Effektmåling!$D$178:$D$182,$B14,$AH$120:$AH$124,'DB materialer'!AI$3))&lt;&gt;0,(SUMIFS(Effektmåling!$J$178:$J$182,Effektmåling!$D$178:$D$182,$B14,$AH$120:$AH$124,'DB materialer'!AI$3))*-R14,"")</f>
        <v/>
      </c>
      <c r="AJ14" s="29" t="str">
        <f>IF((SUMIFS(Effektmåling!$J$178:$J$182,Effektmåling!$D$178:$D$182,$B14,$AH$120:$AH$124,'DB materialer'!AJ$3))&lt;&gt;0,(SUMIFS(Effektmåling!$J$178:$J$182,Effektmåling!$D$178:$D$182,$B14,$AH$120:$AH$124,'DB materialer'!AJ$3))*-S14,"")</f>
        <v/>
      </c>
      <c r="AK14" s="29" t="str">
        <f>IF((SUMIFS(Effektmåling!$J$178:$J$182,Effektmåling!$D$178:$D$182,$B14,$AH$120:$AH$124,'DB materialer'!AK$3))&lt;&gt;0,(SUMIFS(Effektmåling!$J$178:$J$182,Effektmåling!$D$178:$D$182,$B14,$AH$120:$AH$124,'DB materialer'!AK$3))*-T14,"")</f>
        <v/>
      </c>
      <c r="AM14" s="29" t="str">
        <f>IF((SUMIFS(Effektmåling!$J$163:$J$167,Effektmåling!$D$163:$D$167,$B14,$AO$120:$AO$124,'DB materialer'!AM$3))&lt;&gt;0,(SUMIFS(Effektmåling!$J$163:$J$167,Effektmåling!$D$163:$D$167,$B14,$AO$120:$AO$124,'DB materialer'!AM$3))*(-O14)*($C$122),"")</f>
        <v/>
      </c>
      <c r="AN14" s="29" t="str">
        <f>IF((SUMIFS(Effektmåling!$J$163:$J$167,Effektmåling!$D$163:$D$167,$B14,$AO$120:$AO$124,'DB materialer'!AN$3))&lt;&gt;0,(SUMIFS(Effektmåling!$J$163:$J$167,Effektmåling!$D$163:$D$167,$B14,$AO$120:$AO$124,'DB materialer'!AN$3))*(-P14)*($C$122),"")</f>
        <v/>
      </c>
      <c r="AO14" s="29" t="str">
        <f>IF((SUMIFS(Effektmåling!$J$163:$J$167,Effektmåling!$D$163:$D$167,$B14,$AO$120:$AO$124,'DB materialer'!AO$3))&lt;&gt;0,(SUMIFS(Effektmåling!$J$163:$J$167,Effektmåling!$D$163:$D$167,$B14,$AO$120:$AO$124,'DB materialer'!AO$3))*(-Q14)*($C$122),"")</f>
        <v/>
      </c>
      <c r="AP14" s="29" t="str">
        <f>IF((SUMIFS(Effektmåling!$J$163:$J$167,Effektmåling!$D$163:$D$167,$B14,$AO$120:$AO$124,'DB materialer'!AP$3))&lt;&gt;0,(SUMIFS(Effektmåling!$J$163:$J$167,Effektmåling!$D$163:$D$167,$B14,$AO$120:$AO$124,'DB materialer'!AP$3))*(-R14)*($C$122),"")</f>
        <v/>
      </c>
      <c r="AQ14" s="29" t="str">
        <f>IF((SUMIFS(Effektmåling!$J$163:$J$167,Effektmåling!$D$163:$D$167,$B14,$AO$120:$AO$124,'DB materialer'!AQ$3))&lt;&gt;0,(SUMIFS(Effektmåling!$J$163:$J$167,Effektmåling!$D$163:$D$167,$B14,$AO$120:$AO$124,'DB materialer'!AQ$3))*(-S14)*($C$122),"")</f>
        <v/>
      </c>
      <c r="AR14" s="29" t="str">
        <f>IF((SUMIFS(Effektmåling!$J$163:$J$167,Effektmåling!$D$163:$D$167,$B14,$AO$120:$AO$124,'DB materialer'!AR$3))&lt;&gt;0,(SUMIFS(Effektmåling!$J$163:$J$167,Effektmåling!$D$163:$D$167,$B14,$AO$120:$AO$124,'DB materialer'!AR$3))*(-T14)*($C$122),"")</f>
        <v/>
      </c>
      <c r="AT14" s="30">
        <f t="shared" si="8"/>
        <v>1.0000000000000001E-30</v>
      </c>
      <c r="AU14" s="40">
        <f t="shared" si="9"/>
        <v>2.3864171363020033</v>
      </c>
      <c r="AV14" s="41">
        <f t="shared" si="10"/>
        <v>1.0000000000000001E-30</v>
      </c>
      <c r="AW14" s="40">
        <f t="shared" si="11"/>
        <v>2.3864171363020033</v>
      </c>
      <c r="AX14" s="41">
        <f t="shared" si="12"/>
        <v>1.0000000000000001E-30</v>
      </c>
      <c r="AY14" s="41">
        <f t="shared" si="13"/>
        <v>-2.3864171363020033</v>
      </c>
      <c r="BA14" s="29" t="str">
        <f>IF((SUMIFS(Effektmåling!$J$178:$J$182,Effektmåling!$D$178:$D$182,$B14,$AH$120:$AH$124,BA$3))&lt;&gt;0,(SUMIFS(Effektmåling!$J$178:$J$182,Effektmåling!$D$178:$D$182,$B14,$AH$120:$AH$124,BA$3))*-AT14,"")</f>
        <v/>
      </c>
      <c r="BB14" s="29" t="str">
        <f>IF((SUMIFS(Effektmåling!$J$178:$J$182,Effektmåling!$D$178:$D$182,$B14,$AH$120:$AH$124,BB$3))&lt;&gt;0,(SUMIFS(Effektmåling!$J$178:$J$182,Effektmåling!$D$178:$D$182,$B14,$AH$120:$AH$124,BB$3))*-AU14,"")</f>
        <v/>
      </c>
      <c r="BC14" s="29" t="str">
        <f>IF((SUMIFS(Effektmåling!$J$178:$J$182,Effektmåling!$D$178:$D$182,$B14,$AH$120:$AH$124,BC$3))&lt;&gt;0,(SUMIFS(Effektmåling!$J$178:$J$182,Effektmåling!$D$178:$D$182,$B14,$AH$120:$AH$124,BC$3))*-AV14,"")</f>
        <v/>
      </c>
      <c r="BD14" s="29" t="str">
        <f>IF((SUMIFS(Effektmåling!$J$178:$J$182,Effektmåling!$D$178:$D$182,$B14,$AH$120:$AH$124,BD$3))&lt;&gt;0,(SUMIFS(Effektmåling!$J$178:$J$182,Effektmåling!$D$178:$D$182,$B14,$AH$120:$AH$124,BD$3))*-AW14,"")</f>
        <v/>
      </c>
      <c r="BE14" s="29" t="str">
        <f>IF((SUMIFS(Effektmåling!$J$178:$J$182,Effektmåling!$D$178:$D$182,$B14,$AH$120:$AH$124,BE$3))&lt;&gt;0,(SUMIFS(Effektmåling!$J$178:$J$182,Effektmåling!$D$178:$D$182,$B14,$AH$120:$AH$124,BE$3))*-AX14,"")</f>
        <v/>
      </c>
      <c r="BF14" s="29" t="str">
        <f>IF((SUMIFS(Effektmåling!$J$178:$J$182,Effektmåling!$D$178:$D$182,$B14,$AH$120:$AH$124,BF$3))&lt;&gt;0,(SUMIFS(Effektmåling!$J$178:$J$182,Effektmåling!$D$178:$D$182,$B14,$AH$120:$AH$124,BF$3))*-AY14,"")</f>
        <v/>
      </c>
      <c r="BH14" s="29" t="str">
        <f>IF((SUMIFS(Effektmåling!$J$163:$J$167,Effektmåling!$D$163:$D$167,$B14,$AO$120:$AO$124,BH$3))&lt;&gt;0,(SUMIFS(Effektmåling!$J$163:$J$167,Effektmåling!$D$163:$D$167,$B14,$AO$120:$AO$124,BH$3))*-AT14,"")</f>
        <v/>
      </c>
      <c r="BI14" s="29" t="str">
        <f>IF((SUMIFS(Effektmåling!$J$163:$J$167,Effektmåling!$D$163:$D$167,$B14,$AO$120:$AO$124,BI$3))&lt;&gt;0,(SUMIFS(Effektmåling!$J$163:$J$167,Effektmåling!$D$163:$D$167,$B14,$AO$120:$AO$124,BI$3))*-AU14,"")</f>
        <v/>
      </c>
      <c r="BJ14" s="29" t="str">
        <f>IF((SUMIFS(Effektmåling!$J$163:$J$167,Effektmåling!$D$163:$D$167,$B14,$AO$120:$AO$124,BJ$3))&lt;&gt;0,(SUMIFS(Effektmåling!$J$163:$J$167,Effektmåling!$D$163:$D$167,$B14,$AO$120:$AO$124,BJ$3))*-AV14,"")</f>
        <v/>
      </c>
      <c r="BK14" s="29" t="str">
        <f>IF((SUMIFS(Effektmåling!$J$163:$J$167,Effektmåling!$D$163:$D$167,$B14,$AO$120:$AO$124,BK$3))&lt;&gt;0,(SUMIFS(Effektmåling!$J$163:$J$167,Effektmåling!$D$163:$D$167,$B14,$AO$120:$AO$124,BK$3))*-AW14,"")</f>
        <v/>
      </c>
      <c r="BL14" s="29" t="str">
        <f>IF((SUMIFS(Effektmåling!$J$163:$J$167,Effektmåling!$D$163:$D$167,$B14,$AO$120:$AO$124,BL$3))&lt;&gt;0,(SUMIFS(Effektmåling!$J$163:$J$167,Effektmåling!$D$163:$D$167,$B14,$AO$120:$AO$124,BL$3))*-AX14,"")</f>
        <v/>
      </c>
      <c r="BM14" s="29" t="str">
        <f>IF((SUMIFS(Effektmåling!$J$163:$J$167,Effektmåling!$D$163:$D$167,$B14,$AO$120:$AO$124,BM$3))&lt;&gt;0,(SUMIFS(Effektmåling!$J$163:$J$167,Effektmåling!$D$163:$D$167,$B14,$AO$120:$AO$124,BM$3))*-AY14,"")</f>
        <v/>
      </c>
      <c r="BO14" s="211">
        <f t="shared" ca="1" si="24"/>
        <v>100000</v>
      </c>
      <c r="BP14" s="207" t="str">
        <f t="shared" si="4"/>
        <v>Zink</v>
      </c>
      <c r="BQ14" s="29">
        <f t="shared" ca="1" si="25"/>
        <v>0</v>
      </c>
      <c r="BR14" s="29">
        <f t="shared" ca="1" si="14"/>
        <v>100000</v>
      </c>
      <c r="BS14" s="29">
        <f t="shared" si="26"/>
        <v>8</v>
      </c>
      <c r="BT14" s="29">
        <f t="shared" ca="1" si="15"/>
        <v>100000</v>
      </c>
      <c r="BU14" s="29">
        <f t="shared" ca="1" si="16"/>
        <v>0</v>
      </c>
      <c r="BV14" s="211">
        <f t="shared" ca="1" si="29"/>
        <v>0</v>
      </c>
      <c r="BW14" s="212">
        <f t="shared" ca="1" si="17"/>
        <v>0</v>
      </c>
    </row>
    <row r="15" spans="1:80" ht="21" x14ac:dyDescent="0.15">
      <c r="A15" s="19">
        <f t="shared" si="5"/>
        <v>11</v>
      </c>
      <c r="B15" s="19" t="s">
        <v>257</v>
      </c>
      <c r="C15" s="18" t="s">
        <v>245</v>
      </c>
      <c r="D15" s="18" t="s">
        <v>245</v>
      </c>
      <c r="E15" s="18" t="s">
        <v>245</v>
      </c>
      <c r="F15" s="18" t="s">
        <v>245</v>
      </c>
      <c r="G15" s="18" t="s">
        <v>245</v>
      </c>
      <c r="H15" s="18" t="s">
        <v>245</v>
      </c>
      <c r="I15" s="169" t="s">
        <v>245</v>
      </c>
      <c r="J15" s="18" t="s">
        <v>245</v>
      </c>
      <c r="K15" s="18" t="s">
        <v>245</v>
      </c>
      <c r="L15" s="18" t="s">
        <v>245</v>
      </c>
      <c r="M15" s="18" t="s">
        <v>245</v>
      </c>
      <c r="O15" s="168"/>
      <c r="P15" s="168"/>
      <c r="Q15" s="168"/>
      <c r="R15" s="168"/>
      <c r="S15" s="168"/>
      <c r="T15" s="168"/>
      <c r="V15" s="43"/>
      <c r="W15" s="477"/>
      <c r="X15" s="45"/>
      <c r="Y15" s="45"/>
      <c r="AA15" s="45"/>
      <c r="AB15" s="47"/>
      <c r="AC15" s="45"/>
      <c r="AD15" s="44"/>
      <c r="AE15" s="44"/>
      <c r="AF15" s="45"/>
      <c r="AG15" s="45"/>
      <c r="AH15" s="45"/>
      <c r="AI15" s="45"/>
      <c r="AJ15" s="45"/>
      <c r="AK15" s="45"/>
      <c r="AM15" s="45"/>
      <c r="AN15" s="45"/>
      <c r="AO15" s="45"/>
      <c r="AP15" s="45"/>
      <c r="AQ15" s="45"/>
      <c r="AR15" s="45"/>
      <c r="AT15" s="47"/>
      <c r="AU15" s="149"/>
      <c r="AV15" s="51"/>
      <c r="AW15" s="149"/>
      <c r="AX15" s="51"/>
      <c r="AY15" s="51"/>
      <c r="BA15" s="45"/>
      <c r="BB15" s="45"/>
      <c r="BC15" s="45"/>
      <c r="BD15" s="45"/>
      <c r="BE15" s="45"/>
      <c r="BF15" s="45"/>
      <c r="BH15" s="45"/>
      <c r="BI15" s="45"/>
      <c r="BJ15" s="45"/>
      <c r="BK15" s="45"/>
      <c r="BL15" s="45"/>
      <c r="BM15" s="45"/>
      <c r="BO15" s="211">
        <f t="shared" si="24"/>
        <v>100000</v>
      </c>
      <c r="BP15" s="207" t="str">
        <f t="shared" si="4"/>
        <v>-PAPIR og PAP-</v>
      </c>
      <c r="BQ15" s="29">
        <f t="shared" si="25"/>
        <v>0</v>
      </c>
      <c r="BR15" s="29">
        <f t="shared" si="14"/>
        <v>100000</v>
      </c>
      <c r="BS15" s="29">
        <f t="shared" si="26"/>
        <v>9</v>
      </c>
      <c r="BT15" s="29">
        <f t="shared" ca="1" si="15"/>
        <v>100000</v>
      </c>
      <c r="BU15" s="29">
        <f t="shared" ca="1" si="16"/>
        <v>0</v>
      </c>
      <c r="BV15" s="211">
        <f t="shared" ca="1" si="29"/>
        <v>0</v>
      </c>
      <c r="BW15" s="212">
        <f t="shared" ca="1" si="17"/>
        <v>0</v>
      </c>
    </row>
    <row r="16" spans="1:80" x14ac:dyDescent="0.15">
      <c r="A16" s="19">
        <f t="shared" si="5"/>
        <v>12</v>
      </c>
      <c r="B16" s="19" t="s">
        <v>258</v>
      </c>
      <c r="C16" s="19">
        <v>1</v>
      </c>
      <c r="D16" s="100">
        <v>1.7416</v>
      </c>
      <c r="E16" s="24">
        <v>0.87019999999999997</v>
      </c>
      <c r="F16" s="24">
        <v>1.44</v>
      </c>
      <c r="G16" s="24">
        <v>0.627</v>
      </c>
      <c r="H16" s="119">
        <v>0</v>
      </c>
      <c r="I16" s="74">
        <v>0</v>
      </c>
      <c r="J16" s="119">
        <v>0</v>
      </c>
      <c r="K16" s="74">
        <v>0</v>
      </c>
      <c r="L16" s="130">
        <v>0.91620882936784154</v>
      </c>
      <c r="M16" s="74">
        <v>0</v>
      </c>
      <c r="O16" s="142">
        <f t="shared" si="18"/>
        <v>0.56979999999999997</v>
      </c>
      <c r="P16" s="142">
        <f t="shared" si="19"/>
        <v>-0.24319999999999997</v>
      </c>
      <c r="Q16" s="142">
        <f t="shared" si="20"/>
        <v>-0.87019999999999997</v>
      </c>
      <c r="R16" s="142">
        <f t="shared" si="21"/>
        <v>-0.81299999999999994</v>
      </c>
      <c r="S16" s="142">
        <f t="shared" si="22"/>
        <v>-1.44</v>
      </c>
      <c r="T16" s="142">
        <f t="shared" si="23"/>
        <v>-0.627</v>
      </c>
      <c r="V16" s="29">
        <f ca="1">SUMIF(Effektmåling!$D$53:$E$57,'DB materialer'!B16,Effektmåling!$H$53:$H$57)</f>
        <v>0</v>
      </c>
      <c r="W16" s="477" t="str">
        <f ca="1">IF((V16*D16)=0,"",IF(Effektmåling!$Q$241="Ja",1.3*(V16*D16),V16*D16))</f>
        <v/>
      </c>
      <c r="X16" s="29" t="str">
        <f ca="1">IF(W16="","",RANK(W16,$W$7:$W$56,0)+COUNTIF($W$7:W16,W16)-1)</f>
        <v/>
      </c>
      <c r="Y16" s="29" t="str">
        <f ca="1">IF((V16*I16)=0,"",V16*I16)</f>
        <v/>
      </c>
      <c r="AA16" s="29">
        <f ca="1">$C$122*SUMIF(Effektmåling!$D$128:$E$132,'DB materialer'!$B16,Effektmåling!$I$128:$I$132)</f>
        <v>0</v>
      </c>
      <c r="AB16" s="30" t="str">
        <f ca="1">IF((AA16*D16)=0,"",IF(Effektmåling!$Q$241="Ja",1.3*(AA16*D16),AA16*D16))</f>
        <v/>
      </c>
      <c r="AC16" s="29" t="str">
        <f ca="1">IF(AB16="","",RANK(AB16,$AB$7:$AB$56,0)+COUNTIF($AB$7:AB16,AB16)-1)</f>
        <v/>
      </c>
      <c r="AD16" s="29">
        <f ca="1">IF((AA16*I16)=0,0,AA16*I16)</f>
        <v>0</v>
      </c>
      <c r="AE16" s="29"/>
      <c r="AF16" s="29" t="str">
        <f>IF((SUMIFS(Effektmåling!$J$178:$J$182,Effektmåling!$D$178:$D$182,$B16,$AH$120:$AH$124,'DB materialer'!AF$3))&lt;&gt;0,(SUMIFS(Effektmåling!$J$178:$J$182,Effektmåling!$D$178:$D$182,$B16,$AH$120:$AH$124,'DB materialer'!AF$3))*-O16,"")</f>
        <v/>
      </c>
      <c r="AG16" s="29" t="str">
        <f>IF((SUMIFS(Effektmåling!$J$178:$J$182,Effektmåling!$D$178:$D$182,$B16,$AH$120:$AH$124,'DB materialer'!AG$3))&lt;&gt;0,(SUMIFS(Effektmåling!$J$178:$J$182,Effektmåling!$D$178:$D$182,$B16,$AH$120:$AH$124,'DB materialer'!AG$3))*-P16,"")</f>
        <v/>
      </c>
      <c r="AH16" s="29" t="str">
        <f>IF((SUMIFS(Effektmåling!$J$178:$J$182,Effektmåling!$D$178:$D$182,$B16,$AH$120:$AH$124,'DB materialer'!AH$3))&lt;&gt;0,(SUMIFS(Effektmåling!$J$178:$J$182,Effektmåling!$D$178:$D$182,$B16,$AH$120:$AH$124,'DB materialer'!AH$3))*-Q16,"")</f>
        <v/>
      </c>
      <c r="AI16" s="29" t="str">
        <f>IF((SUMIFS(Effektmåling!$J$178:$J$182,Effektmåling!$D$178:$D$182,$B16,$AH$120:$AH$124,'DB materialer'!AI$3))&lt;&gt;0,(SUMIFS(Effektmåling!$J$178:$J$182,Effektmåling!$D$178:$D$182,$B16,$AH$120:$AH$124,'DB materialer'!AI$3))*-R16,"")</f>
        <v/>
      </c>
      <c r="AJ16" s="29" t="str">
        <f>IF((SUMIFS(Effektmåling!$J$178:$J$182,Effektmåling!$D$178:$D$182,$B16,$AH$120:$AH$124,'DB materialer'!AJ$3))&lt;&gt;0,(SUMIFS(Effektmåling!$J$178:$J$182,Effektmåling!$D$178:$D$182,$B16,$AH$120:$AH$124,'DB materialer'!AJ$3))*-S16,"")</f>
        <v/>
      </c>
      <c r="AK16" s="29" t="str">
        <f>IF((SUMIFS(Effektmåling!$J$178:$J$182,Effektmåling!$D$178:$D$182,$B16,$AH$120:$AH$124,'DB materialer'!AK$3))&lt;&gt;0,(SUMIFS(Effektmåling!$J$178:$J$182,Effektmåling!$D$178:$D$182,$B16,$AH$120:$AH$124,'DB materialer'!AK$3))*-T16,"")</f>
        <v/>
      </c>
      <c r="AM16" s="29" t="str">
        <f>IF((SUMIFS(Effektmåling!$J$163:$J$167,Effektmåling!$D$163:$D$167,$B16,$AO$120:$AO$124,'DB materialer'!AM$3))&lt;&gt;0,(SUMIFS(Effektmåling!$J$163:$J$167,Effektmåling!$D$163:$D$167,$B16,$AO$120:$AO$124,'DB materialer'!AM$3))*(-O16)*($C$122),"")</f>
        <v/>
      </c>
      <c r="AN16" s="29" t="str">
        <f>IF((SUMIFS(Effektmåling!$J$163:$J$167,Effektmåling!$D$163:$D$167,$B16,$AO$120:$AO$124,'DB materialer'!AN$3))&lt;&gt;0,(SUMIFS(Effektmåling!$J$163:$J$167,Effektmåling!$D$163:$D$167,$B16,$AO$120:$AO$124,'DB materialer'!AN$3))*(-P16)*($C$122),"")</f>
        <v/>
      </c>
      <c r="AO16" s="29" t="str">
        <f>IF((SUMIFS(Effektmåling!$J$163:$J$167,Effektmåling!$D$163:$D$167,$B16,$AO$120:$AO$124,'DB materialer'!AO$3))&lt;&gt;0,(SUMIFS(Effektmåling!$J$163:$J$167,Effektmåling!$D$163:$D$167,$B16,$AO$120:$AO$124,'DB materialer'!AO$3))*(-Q16)*($C$122),"")</f>
        <v/>
      </c>
      <c r="AP16" s="29" t="str">
        <f>IF((SUMIFS(Effektmåling!$J$163:$J$167,Effektmåling!$D$163:$D$167,$B16,$AO$120:$AO$124,'DB materialer'!AP$3))&lt;&gt;0,(SUMIFS(Effektmåling!$J$163:$J$167,Effektmåling!$D$163:$D$167,$B16,$AO$120:$AO$124,'DB materialer'!AP$3))*(-R16)*($C$122),"")</f>
        <v/>
      </c>
      <c r="AQ16" s="29" t="str">
        <f>IF((SUMIFS(Effektmåling!$J$163:$J$167,Effektmåling!$D$163:$D$167,$B16,$AO$120:$AO$124,'DB materialer'!AQ$3))&lt;&gt;0,(SUMIFS(Effektmåling!$J$163:$J$167,Effektmåling!$D$163:$D$167,$B16,$AO$120:$AO$124,'DB materialer'!AQ$3))*(-S16)*($C$122),"")</f>
        <v/>
      </c>
      <c r="AR16" s="29" t="str">
        <f>IF((SUMIFS(Effektmåling!$J$163:$J$167,Effektmåling!$D$163:$D$167,$B16,$AO$120:$AO$124,'DB materialer'!AR$3))&lt;&gt;0,(SUMIFS(Effektmåling!$J$163:$J$167,Effektmåling!$D$163:$D$167,$B16,$AO$120:$AO$124,'DB materialer'!AR$3))*(-T16)*($C$122),"")</f>
        <v/>
      </c>
      <c r="AT16" s="30">
        <f>IF((K16-J16)=0,1E-30,K16-J16)</f>
        <v>1.0000000000000001E-30</v>
      </c>
      <c r="AU16" s="40">
        <f>IF((L16-J16)=0,1E-30,L16-J16)</f>
        <v>0.91620882936784154</v>
      </c>
      <c r="AV16" s="41">
        <f>IF((M16-J16)=0,1E-30,M16-J16)</f>
        <v>1.0000000000000001E-30</v>
      </c>
      <c r="AW16" s="40">
        <f>IF((L16-K16)=0,1E-30,L16-K16)</f>
        <v>0.91620882936784154</v>
      </c>
      <c r="AX16" s="41">
        <f>IF((M16-K16)=0,1E-30,M16-K16)</f>
        <v>1.0000000000000001E-30</v>
      </c>
      <c r="AY16" s="41">
        <f>IF((M16-L16)=0,1E-30,M16-L16)</f>
        <v>-0.91620882936784154</v>
      </c>
      <c r="BA16" s="29" t="str">
        <f>IF((SUMIFS(Effektmåling!$J$178:$J$182,Effektmåling!$D$178:$D$182,$B16,$AH$120:$AH$124,BA$3))&lt;&gt;0,(SUMIFS(Effektmåling!$J$178:$J$182,Effektmåling!$D$178:$D$182,$B16,$AH$120:$AH$124,BA$3))*-AT16,"")</f>
        <v/>
      </c>
      <c r="BB16" s="29" t="str">
        <f>IF((SUMIFS(Effektmåling!$J$178:$J$182,Effektmåling!$D$178:$D$182,$B16,$AH$120:$AH$124,BB$3))&lt;&gt;0,(SUMIFS(Effektmåling!$J$178:$J$182,Effektmåling!$D$178:$D$182,$B16,$AH$120:$AH$124,BB$3))*-AU16,"")</f>
        <v/>
      </c>
      <c r="BC16" s="29" t="str">
        <f>IF((SUMIFS(Effektmåling!$J$178:$J$182,Effektmåling!$D$178:$D$182,$B16,$AH$120:$AH$124,BC$3))&lt;&gt;0,(SUMIFS(Effektmåling!$J$178:$J$182,Effektmåling!$D$178:$D$182,$B16,$AH$120:$AH$124,BC$3))*-AV16,"")</f>
        <v/>
      </c>
      <c r="BD16" s="29" t="str">
        <f>IF((SUMIFS(Effektmåling!$J$178:$J$182,Effektmåling!$D$178:$D$182,$B16,$AH$120:$AH$124,BD$3))&lt;&gt;0,(SUMIFS(Effektmåling!$J$178:$J$182,Effektmåling!$D$178:$D$182,$B16,$AH$120:$AH$124,BD$3))*-AW16,"")</f>
        <v/>
      </c>
      <c r="BE16" s="29" t="str">
        <f>IF((SUMIFS(Effektmåling!$J$178:$J$182,Effektmåling!$D$178:$D$182,$B16,$AH$120:$AH$124,BE$3))&lt;&gt;0,(SUMIFS(Effektmåling!$J$178:$J$182,Effektmåling!$D$178:$D$182,$B16,$AH$120:$AH$124,BE$3))*-AX16,"")</f>
        <v/>
      </c>
      <c r="BF16" s="29" t="str">
        <f>IF((SUMIFS(Effektmåling!$J$178:$J$182,Effektmåling!$D$178:$D$182,$B16,$AH$120:$AH$124,BF$3))&lt;&gt;0,(SUMIFS(Effektmåling!$J$178:$J$182,Effektmåling!$D$178:$D$182,$B16,$AH$120:$AH$124,BF$3))*-AY16,"")</f>
        <v/>
      </c>
      <c r="BH16" s="29" t="str">
        <f>IF((SUMIFS(Effektmåling!$J$163:$J$167,Effektmåling!$D$163:$D$167,$B16,$AO$120:$AO$124,BH$3))&lt;&gt;0,(SUMIFS(Effektmåling!$J$163:$J$167,Effektmåling!$D$163:$D$167,$B16,$AO$120:$AO$124,BH$3))*-AT16,"")</f>
        <v/>
      </c>
      <c r="BI16" s="29" t="str">
        <f>IF((SUMIFS(Effektmåling!$J$163:$J$167,Effektmåling!$D$163:$D$167,$B16,$AO$120:$AO$124,BI$3))&lt;&gt;0,(SUMIFS(Effektmåling!$J$163:$J$167,Effektmåling!$D$163:$D$167,$B16,$AO$120:$AO$124,BI$3))*-AU16,"")</f>
        <v/>
      </c>
      <c r="BJ16" s="29" t="str">
        <f>IF((SUMIFS(Effektmåling!$J$163:$J$167,Effektmåling!$D$163:$D$167,$B16,$AO$120:$AO$124,BJ$3))&lt;&gt;0,(SUMIFS(Effektmåling!$J$163:$J$167,Effektmåling!$D$163:$D$167,$B16,$AO$120:$AO$124,BJ$3))*-AV16,"")</f>
        <v/>
      </c>
      <c r="BK16" s="29" t="str">
        <f>IF((SUMIFS(Effektmåling!$J$163:$J$167,Effektmåling!$D$163:$D$167,$B16,$AO$120:$AO$124,BK$3))&lt;&gt;0,(SUMIFS(Effektmåling!$J$163:$J$167,Effektmåling!$D$163:$D$167,$B16,$AO$120:$AO$124,BK$3))*-AW16,"")</f>
        <v/>
      </c>
      <c r="BL16" s="29" t="str">
        <f>IF((SUMIFS(Effektmåling!$J$163:$J$167,Effektmåling!$D$163:$D$167,$B16,$AO$120:$AO$124,BL$3))&lt;&gt;0,(SUMIFS(Effektmåling!$J$163:$J$167,Effektmåling!$D$163:$D$167,$B16,$AO$120:$AO$124,BL$3))*-AX16,"")</f>
        <v/>
      </c>
      <c r="BM16" s="29" t="str">
        <f>IF((SUMIFS(Effektmåling!$J$163:$J$167,Effektmåling!$D$163:$D$167,$B16,$AO$120:$AO$124,BM$3))&lt;&gt;0,(SUMIFS(Effektmåling!$J$163:$J$167,Effektmåling!$D$163:$D$167,$B16,$AO$120:$AO$124,BM$3))*-AY16,"")</f>
        <v/>
      </c>
      <c r="BO16" s="211">
        <f t="shared" ca="1" si="24"/>
        <v>100000</v>
      </c>
      <c r="BP16" s="207" t="str">
        <f t="shared" si="4"/>
        <v>Aviser</v>
      </c>
      <c r="BQ16" s="29">
        <f t="shared" ca="1" si="25"/>
        <v>0</v>
      </c>
      <c r="BR16" s="29">
        <f t="shared" ca="1" si="14"/>
        <v>100000</v>
      </c>
      <c r="BS16" s="29">
        <f t="shared" si="26"/>
        <v>10</v>
      </c>
      <c r="BT16" s="29">
        <f t="shared" ca="1" si="15"/>
        <v>100000</v>
      </c>
      <c r="BU16" s="29">
        <f t="shared" ca="1" si="16"/>
        <v>0</v>
      </c>
      <c r="BV16" s="217">
        <f t="shared" ca="1" si="29"/>
        <v>0</v>
      </c>
      <c r="BW16" s="218">
        <f t="shared" ca="1" si="17"/>
        <v>0</v>
      </c>
    </row>
    <row r="17" spans="1:75" ht="21" x14ac:dyDescent="0.15">
      <c r="A17" s="19">
        <f t="shared" si="5"/>
        <v>13</v>
      </c>
      <c r="B17" s="19" t="s">
        <v>259</v>
      </c>
      <c r="C17" s="19">
        <v>1</v>
      </c>
      <c r="D17" s="100">
        <v>1.5620000000000001</v>
      </c>
      <c r="E17" s="24">
        <v>0.87019999999999997</v>
      </c>
      <c r="F17" s="24">
        <v>1.44</v>
      </c>
      <c r="G17" s="24">
        <v>0.627</v>
      </c>
      <c r="H17" s="119">
        <v>0</v>
      </c>
      <c r="I17" s="74">
        <v>0</v>
      </c>
      <c r="J17" s="119">
        <v>0</v>
      </c>
      <c r="K17" s="74">
        <v>0</v>
      </c>
      <c r="L17" s="130">
        <v>0.91620882936784154</v>
      </c>
      <c r="M17" s="74">
        <v>0</v>
      </c>
      <c r="O17" s="142">
        <f t="shared" si="18"/>
        <v>0.56979999999999997</v>
      </c>
      <c r="P17" s="142">
        <f t="shared" si="19"/>
        <v>-0.24319999999999997</v>
      </c>
      <c r="Q17" s="142">
        <f t="shared" si="20"/>
        <v>-0.87019999999999997</v>
      </c>
      <c r="R17" s="142">
        <f t="shared" si="21"/>
        <v>-0.81299999999999994</v>
      </c>
      <c r="S17" s="142">
        <f t="shared" si="22"/>
        <v>-1.44</v>
      </c>
      <c r="T17" s="142">
        <f t="shared" si="23"/>
        <v>-0.627</v>
      </c>
      <c r="V17" s="29">
        <f ca="1">SUMIF(Effektmåling!$D$53:$E$57,'DB materialer'!B17,Effektmåling!$H$53:$H$57)</f>
        <v>0</v>
      </c>
      <c r="W17" s="477" t="str">
        <f ca="1">IF((V17*D17)=0,"",IF(Effektmåling!$Q$241="Ja",1.3*(V17*D17),V17*D17))</f>
        <v/>
      </c>
      <c r="X17" s="29" t="str">
        <f ca="1">IF(W17="","",RANK(W17,$W$7:$W$56,0)+COUNTIF($W$7:W17,W17)-1)</f>
        <v/>
      </c>
      <c r="Y17" s="29" t="str">
        <f ca="1">IF((V17*I17)=0,"",V17*I17)</f>
        <v/>
      </c>
      <c r="AA17" s="29">
        <f ca="1">$C$122*SUMIF(Effektmåling!$D$128:$E$132,'DB materialer'!$B17,Effektmåling!$I$128:$I$132)</f>
        <v>0</v>
      </c>
      <c r="AB17" s="477" t="str">
        <f ca="1">IF((AA17*D17)=0,"",IF(Effektmåling!$Q$241="Ja",1.3*(AA17*D17),AA17*D17))</f>
        <v/>
      </c>
      <c r="AC17" s="29" t="str">
        <f ca="1">IF(AB17="","",RANK(AB17,$AB$7:$AB$56,0)+COUNTIF($AB$7:AB17,AB17)-1)</f>
        <v/>
      </c>
      <c r="AD17" s="29">
        <f ca="1">IF((AA17*I17)=0,0,AA17*I17)</f>
        <v>0</v>
      </c>
      <c r="AE17" s="29"/>
      <c r="AF17" s="29" t="str">
        <f>IF((SUMIFS(Effektmåling!$J$178:$J$182,Effektmåling!$D$178:$D$182,$B17,$AH$120:$AH$124,'DB materialer'!AF$3))&lt;&gt;0,(SUMIFS(Effektmåling!$J$178:$J$182,Effektmåling!$D$178:$D$182,$B17,$AH$120:$AH$124,'DB materialer'!AF$3))*-O17,"")</f>
        <v/>
      </c>
      <c r="AG17" s="29" t="str">
        <f>IF((SUMIFS(Effektmåling!$J$178:$J$182,Effektmåling!$D$178:$D$182,$B17,$AH$120:$AH$124,'DB materialer'!AG$3))&lt;&gt;0,(SUMIFS(Effektmåling!$J$178:$J$182,Effektmåling!$D$178:$D$182,$B17,$AH$120:$AH$124,'DB materialer'!AG$3))*-P17,"")</f>
        <v/>
      </c>
      <c r="AH17" s="29" t="str">
        <f>IF((SUMIFS(Effektmåling!$J$178:$J$182,Effektmåling!$D$178:$D$182,$B17,$AH$120:$AH$124,'DB materialer'!AH$3))&lt;&gt;0,(SUMIFS(Effektmåling!$J$178:$J$182,Effektmåling!$D$178:$D$182,$B17,$AH$120:$AH$124,'DB materialer'!AH$3))*-Q17,"")</f>
        <v/>
      </c>
      <c r="AI17" s="29" t="str">
        <f>IF((SUMIFS(Effektmåling!$J$178:$J$182,Effektmåling!$D$178:$D$182,$B17,$AH$120:$AH$124,'DB materialer'!AI$3))&lt;&gt;0,(SUMIFS(Effektmåling!$J$178:$J$182,Effektmåling!$D$178:$D$182,$B17,$AH$120:$AH$124,'DB materialer'!AI$3))*-R17,"")</f>
        <v/>
      </c>
      <c r="AJ17" s="29" t="str">
        <f>IF((SUMIFS(Effektmåling!$J$178:$J$182,Effektmåling!$D$178:$D$182,$B17,$AH$120:$AH$124,'DB materialer'!AJ$3))&lt;&gt;0,(SUMIFS(Effektmåling!$J$178:$J$182,Effektmåling!$D$178:$D$182,$B17,$AH$120:$AH$124,'DB materialer'!AJ$3))*-S17,"")</f>
        <v/>
      </c>
      <c r="AK17" s="29" t="str">
        <f>IF((SUMIFS(Effektmåling!$J$178:$J$182,Effektmåling!$D$178:$D$182,$B17,$AH$120:$AH$124,'DB materialer'!AK$3))&lt;&gt;0,(SUMIFS(Effektmåling!$J$178:$J$182,Effektmåling!$D$178:$D$182,$B17,$AH$120:$AH$124,'DB materialer'!AK$3))*-T17,"")</f>
        <v/>
      </c>
      <c r="AM17" s="29" t="str">
        <f>IF((SUMIFS(Effektmåling!$J$163:$J$167,Effektmåling!$D$163:$D$167,$B17,$AO$120:$AO$124,'DB materialer'!AM$3))&lt;&gt;0,(SUMIFS(Effektmåling!$J$163:$J$167,Effektmåling!$D$163:$D$167,$B17,$AO$120:$AO$124,'DB materialer'!AM$3))*(-O17)*($C$122),"")</f>
        <v/>
      </c>
      <c r="AN17" s="29" t="str">
        <f>IF((SUMIFS(Effektmåling!$J$163:$J$167,Effektmåling!$D$163:$D$167,$B17,$AO$120:$AO$124,'DB materialer'!AN$3))&lt;&gt;0,(SUMIFS(Effektmåling!$J$163:$J$167,Effektmåling!$D$163:$D$167,$B17,$AO$120:$AO$124,'DB materialer'!AN$3))*(-P17)*($C$122),"")</f>
        <v/>
      </c>
      <c r="AO17" s="29" t="str">
        <f>IF((SUMIFS(Effektmåling!$J$163:$J$167,Effektmåling!$D$163:$D$167,$B17,$AO$120:$AO$124,'DB materialer'!AO$3))&lt;&gt;0,(SUMIFS(Effektmåling!$J$163:$J$167,Effektmåling!$D$163:$D$167,$B17,$AO$120:$AO$124,'DB materialer'!AO$3))*(-Q17)*($C$122),"")</f>
        <v/>
      </c>
      <c r="AP17" s="29" t="str">
        <f>IF((SUMIFS(Effektmåling!$J$163:$J$167,Effektmåling!$D$163:$D$167,$B17,$AO$120:$AO$124,'DB materialer'!AP$3))&lt;&gt;0,(SUMIFS(Effektmåling!$J$163:$J$167,Effektmåling!$D$163:$D$167,$B17,$AO$120:$AO$124,'DB materialer'!AP$3))*(-R17)*($C$122),"")</f>
        <v/>
      </c>
      <c r="AQ17" s="29" t="str">
        <f>IF((SUMIFS(Effektmåling!$J$163:$J$167,Effektmåling!$D$163:$D$167,$B17,$AO$120:$AO$124,'DB materialer'!AQ$3))&lt;&gt;0,(SUMIFS(Effektmåling!$J$163:$J$167,Effektmåling!$D$163:$D$167,$B17,$AO$120:$AO$124,'DB materialer'!AQ$3))*(-S17)*($C$122),"")</f>
        <v/>
      </c>
      <c r="AR17" s="29" t="str">
        <f>IF((SUMIFS(Effektmåling!$J$163:$J$167,Effektmåling!$D$163:$D$167,$B17,$AO$120:$AO$124,'DB materialer'!AR$3))&lt;&gt;0,(SUMIFS(Effektmåling!$J$163:$J$167,Effektmåling!$D$163:$D$167,$B17,$AO$120:$AO$124,'DB materialer'!AR$3))*(-T17)*($C$122),"")</f>
        <v/>
      </c>
      <c r="AT17" s="30">
        <f>IF((K17-J17)=0,1E-30,K17-J17)</f>
        <v>1.0000000000000001E-30</v>
      </c>
      <c r="AU17" s="40">
        <f>IF((L17-J17)=0,1E-30,L17-J17)</f>
        <v>0.91620882936784154</v>
      </c>
      <c r="AV17" s="41">
        <f>IF((M17-J17)=0,1E-30,M17-J17)</f>
        <v>1.0000000000000001E-30</v>
      </c>
      <c r="AW17" s="40">
        <f>IF((L17-K17)=0,1E-30,L17-K17)</f>
        <v>0.91620882936784154</v>
      </c>
      <c r="AX17" s="41">
        <f>IF((M17-K17)=0,1E-30,M17-K17)</f>
        <v>1.0000000000000001E-30</v>
      </c>
      <c r="AY17" s="41">
        <f>IF((M17-L17)=0,1E-30,M17-L17)</f>
        <v>-0.91620882936784154</v>
      </c>
      <c r="BA17" s="29" t="str">
        <f>IF((SUMIFS(Effektmåling!$J$178:$J$182,Effektmåling!$D$178:$D$182,$B17,$AH$120:$AH$124,BA$3))&lt;&gt;0,(SUMIFS(Effektmåling!$J$178:$J$182,Effektmåling!$D$178:$D$182,$B17,$AH$120:$AH$124,BA$3))*-AT17,"")</f>
        <v/>
      </c>
      <c r="BB17" s="29" t="str">
        <f>IF((SUMIFS(Effektmåling!$J$178:$J$182,Effektmåling!$D$178:$D$182,$B17,$AH$120:$AH$124,BB$3))&lt;&gt;0,(SUMIFS(Effektmåling!$J$178:$J$182,Effektmåling!$D$178:$D$182,$B17,$AH$120:$AH$124,BB$3))*-AU17,"")</f>
        <v/>
      </c>
      <c r="BC17" s="29" t="str">
        <f>IF((SUMIFS(Effektmåling!$J$178:$J$182,Effektmåling!$D$178:$D$182,$B17,$AH$120:$AH$124,BC$3))&lt;&gt;0,(SUMIFS(Effektmåling!$J$178:$J$182,Effektmåling!$D$178:$D$182,$B17,$AH$120:$AH$124,BC$3))*-AV17,"")</f>
        <v/>
      </c>
      <c r="BD17" s="29" t="str">
        <f>IF((SUMIFS(Effektmåling!$J$178:$J$182,Effektmåling!$D$178:$D$182,$B17,$AH$120:$AH$124,BD$3))&lt;&gt;0,(SUMIFS(Effektmåling!$J$178:$J$182,Effektmåling!$D$178:$D$182,$B17,$AH$120:$AH$124,BD$3))*-AW17,"")</f>
        <v/>
      </c>
      <c r="BE17" s="29" t="str">
        <f>IF((SUMIFS(Effektmåling!$J$178:$J$182,Effektmåling!$D$178:$D$182,$B17,$AH$120:$AH$124,BE$3))&lt;&gt;0,(SUMIFS(Effektmåling!$J$178:$J$182,Effektmåling!$D$178:$D$182,$B17,$AH$120:$AH$124,BE$3))*-AX17,"")</f>
        <v/>
      </c>
      <c r="BF17" s="29" t="str">
        <f>IF((SUMIFS(Effektmåling!$J$178:$J$182,Effektmåling!$D$178:$D$182,$B17,$AH$120:$AH$124,BF$3))&lt;&gt;0,(SUMIFS(Effektmåling!$J$178:$J$182,Effektmåling!$D$178:$D$182,$B17,$AH$120:$AH$124,BF$3))*-AY17,"")</f>
        <v/>
      </c>
      <c r="BH17" s="29" t="str">
        <f>IF((SUMIFS(Effektmåling!$J$163:$J$167,Effektmåling!$D$163:$D$167,$B17,$AO$120:$AO$124,BH$3))&lt;&gt;0,(SUMIFS(Effektmåling!$J$163:$J$167,Effektmåling!$D$163:$D$167,$B17,$AO$120:$AO$124,BH$3))*-AT17,"")</f>
        <v/>
      </c>
      <c r="BI17" s="29" t="str">
        <f>IF((SUMIFS(Effektmåling!$J$163:$J$167,Effektmåling!$D$163:$D$167,$B17,$AO$120:$AO$124,BI$3))&lt;&gt;0,(SUMIFS(Effektmåling!$J$163:$J$167,Effektmåling!$D$163:$D$167,$B17,$AO$120:$AO$124,BI$3))*-AU17,"")</f>
        <v/>
      </c>
      <c r="BJ17" s="29" t="str">
        <f>IF((SUMIFS(Effektmåling!$J$163:$J$167,Effektmåling!$D$163:$D$167,$B17,$AO$120:$AO$124,BJ$3))&lt;&gt;0,(SUMIFS(Effektmåling!$J$163:$J$167,Effektmåling!$D$163:$D$167,$B17,$AO$120:$AO$124,BJ$3))*-AV17,"")</f>
        <v/>
      </c>
      <c r="BK17" s="29" t="str">
        <f>IF((SUMIFS(Effektmåling!$J$163:$J$167,Effektmåling!$D$163:$D$167,$B17,$AO$120:$AO$124,BK$3))&lt;&gt;0,(SUMIFS(Effektmåling!$J$163:$J$167,Effektmåling!$D$163:$D$167,$B17,$AO$120:$AO$124,BK$3))*-AW17,"")</f>
        <v/>
      </c>
      <c r="BL17" s="29" t="str">
        <f>IF((SUMIFS(Effektmåling!$J$163:$J$167,Effektmåling!$D$163:$D$167,$B17,$AO$120:$AO$124,BL$3))&lt;&gt;0,(SUMIFS(Effektmåling!$J$163:$J$167,Effektmåling!$D$163:$D$167,$B17,$AO$120:$AO$124,BL$3))*-AX17,"")</f>
        <v/>
      </c>
      <c r="BM17" s="29" t="str">
        <f>IF((SUMIFS(Effektmåling!$J$163:$J$167,Effektmåling!$D$163:$D$167,$B17,$AO$120:$AO$124,BM$3))&lt;&gt;0,(SUMIFS(Effektmåling!$J$163:$J$167,Effektmåling!$D$163:$D$167,$B17,$AO$120:$AO$124,BM$3))*-AY17,"")</f>
        <v/>
      </c>
      <c r="BO17" s="211">
        <f t="shared" ca="1" si="24"/>
        <v>100000</v>
      </c>
      <c r="BP17" s="207" t="str">
        <f t="shared" si="4"/>
        <v>Blandet papir</v>
      </c>
      <c r="BQ17" s="29">
        <f t="shared" ca="1" si="25"/>
        <v>0</v>
      </c>
      <c r="BR17" s="29">
        <f t="shared" ca="1" si="14"/>
        <v>100000</v>
      </c>
      <c r="BS17" s="29"/>
      <c r="BT17" s="29"/>
      <c r="BU17" s="29"/>
      <c r="BV17" s="29"/>
      <c r="BW17" s="212"/>
    </row>
    <row r="18" spans="1:75" x14ac:dyDescent="0.15">
      <c r="A18" s="19">
        <f t="shared" si="5"/>
        <v>14</v>
      </c>
      <c r="B18" s="19" t="s">
        <v>260</v>
      </c>
      <c r="C18" s="19">
        <v>1</v>
      </c>
      <c r="D18" s="22">
        <v>2.6339999999999999</v>
      </c>
      <c r="E18" s="22">
        <v>0.87019999999999997</v>
      </c>
      <c r="F18" s="105">
        <v>1.44</v>
      </c>
      <c r="G18" s="22">
        <v>0.627</v>
      </c>
      <c r="H18" s="119">
        <v>0</v>
      </c>
      <c r="I18" s="74">
        <v>0</v>
      </c>
      <c r="J18" s="119">
        <v>0</v>
      </c>
      <c r="K18" s="74">
        <v>0</v>
      </c>
      <c r="L18" s="130">
        <v>0.91620882936784154</v>
      </c>
      <c r="M18" s="74">
        <v>0</v>
      </c>
      <c r="O18" s="142">
        <f t="shared" si="18"/>
        <v>0.56979999999999997</v>
      </c>
      <c r="P18" s="142">
        <f t="shared" si="19"/>
        <v>-0.24319999999999997</v>
      </c>
      <c r="Q18" s="142">
        <f t="shared" si="20"/>
        <v>-0.87019999999999997</v>
      </c>
      <c r="R18" s="142">
        <f t="shared" si="21"/>
        <v>-0.81299999999999994</v>
      </c>
      <c r="S18" s="142">
        <f t="shared" si="22"/>
        <v>-1.44</v>
      </c>
      <c r="T18" s="142">
        <f t="shared" si="23"/>
        <v>-0.627</v>
      </c>
      <c r="V18" s="29">
        <f ca="1">SUMIF(Effektmåling!$D$53:$E$57,'DB materialer'!B18,Effektmåling!$H$53:$H$57)</f>
        <v>0</v>
      </c>
      <c r="W18" s="477" t="str">
        <f ca="1">IF((V18*D18)=0,"",IF(Effektmåling!$Q$241="Ja",1.3*(V18*D18),V18*D18))</f>
        <v/>
      </c>
      <c r="X18" s="29" t="str">
        <f ca="1">IF(W18="","",RANK(W18,$W$7:$W$56,0)+COUNTIF($W$7:W18,W18)-1)</f>
        <v/>
      </c>
      <c r="Y18" s="29" t="str">
        <f ca="1">IF((V18*I18)=0,"",V18*I18)</f>
        <v/>
      </c>
      <c r="AA18" s="29">
        <f ca="1">$C$122*SUMIF(Effektmåling!$D$128:$E$132,'DB materialer'!$B18,Effektmåling!$I$128:$I$132)</f>
        <v>0</v>
      </c>
      <c r="AB18" s="477" t="str">
        <f ca="1">IF((AA18*D18)=0,"",IF(Effektmåling!$Q$241="Ja",1.3*(AA18*D18),AA18*D18))</f>
        <v/>
      </c>
      <c r="AC18" s="29" t="str">
        <f ca="1">IF(AB18="","",RANK(AB18,$AB$7:$AB$56,0)+COUNTIF($AB$7:AB18,AB18)-1)</f>
        <v/>
      </c>
      <c r="AD18" s="29">
        <f ca="1">IF((AA18*I18)=0,0,AA18*I18)</f>
        <v>0</v>
      </c>
      <c r="AE18" s="29"/>
      <c r="AF18" s="29" t="str">
        <f>IF((SUMIFS(Effektmåling!$J$178:$J$182,Effektmåling!$D$178:$D$182,$B18,$AH$120:$AH$124,'DB materialer'!AF$3))&lt;&gt;0,(SUMIFS(Effektmåling!$J$178:$J$182,Effektmåling!$D$178:$D$182,$B18,$AH$120:$AH$124,'DB materialer'!AF$3))*-O18,"")</f>
        <v/>
      </c>
      <c r="AG18" s="29" t="str">
        <f>IF((SUMIFS(Effektmåling!$J$178:$J$182,Effektmåling!$D$178:$D$182,$B18,$AH$120:$AH$124,'DB materialer'!AG$3))&lt;&gt;0,(SUMIFS(Effektmåling!$J$178:$J$182,Effektmåling!$D$178:$D$182,$B18,$AH$120:$AH$124,'DB materialer'!AG$3))*-P18,"")</f>
        <v/>
      </c>
      <c r="AH18" s="29" t="str">
        <f>IF((SUMIFS(Effektmåling!$J$178:$J$182,Effektmåling!$D$178:$D$182,$B18,$AH$120:$AH$124,'DB materialer'!AH$3))&lt;&gt;0,(SUMIFS(Effektmåling!$J$178:$J$182,Effektmåling!$D$178:$D$182,$B18,$AH$120:$AH$124,'DB materialer'!AH$3))*-Q18,"")</f>
        <v/>
      </c>
      <c r="AI18" s="29" t="str">
        <f>IF((SUMIFS(Effektmåling!$J$178:$J$182,Effektmåling!$D$178:$D$182,$B18,$AH$120:$AH$124,'DB materialer'!AI$3))&lt;&gt;0,(SUMIFS(Effektmåling!$J$178:$J$182,Effektmåling!$D$178:$D$182,$B18,$AH$120:$AH$124,'DB materialer'!AI$3))*-R18,"")</f>
        <v/>
      </c>
      <c r="AJ18" s="29" t="str">
        <f>IF((SUMIFS(Effektmåling!$J$178:$J$182,Effektmåling!$D$178:$D$182,$B18,$AH$120:$AH$124,'DB materialer'!AJ$3))&lt;&gt;0,(SUMIFS(Effektmåling!$J$178:$J$182,Effektmåling!$D$178:$D$182,$B18,$AH$120:$AH$124,'DB materialer'!AJ$3))*-S18,"")</f>
        <v/>
      </c>
      <c r="AK18" s="29" t="str">
        <f>IF((SUMIFS(Effektmåling!$J$178:$J$182,Effektmåling!$D$178:$D$182,$B18,$AH$120:$AH$124,'DB materialer'!AK$3))&lt;&gt;0,(SUMIFS(Effektmåling!$J$178:$J$182,Effektmåling!$D$178:$D$182,$B18,$AH$120:$AH$124,'DB materialer'!AK$3))*-T18,"")</f>
        <v/>
      </c>
      <c r="AM18" s="29" t="str">
        <f>IF((SUMIFS(Effektmåling!$J$163:$J$167,Effektmåling!$D$163:$D$167,$B18,$AO$120:$AO$124,'DB materialer'!AM$3))&lt;&gt;0,(SUMIFS(Effektmåling!$J$163:$J$167,Effektmåling!$D$163:$D$167,$B18,$AO$120:$AO$124,'DB materialer'!AM$3))*(-O18)*($C$122),"")</f>
        <v/>
      </c>
      <c r="AN18" s="29" t="str">
        <f>IF((SUMIFS(Effektmåling!$J$163:$J$167,Effektmåling!$D$163:$D$167,$B18,$AO$120:$AO$124,'DB materialer'!AN$3))&lt;&gt;0,(SUMIFS(Effektmåling!$J$163:$J$167,Effektmåling!$D$163:$D$167,$B18,$AO$120:$AO$124,'DB materialer'!AN$3))*(-P18)*($C$122),"")</f>
        <v/>
      </c>
      <c r="AO18" s="29" t="str">
        <f>IF((SUMIFS(Effektmåling!$J$163:$J$167,Effektmåling!$D$163:$D$167,$B18,$AO$120:$AO$124,'DB materialer'!AO$3))&lt;&gt;0,(SUMIFS(Effektmåling!$J$163:$J$167,Effektmåling!$D$163:$D$167,$B18,$AO$120:$AO$124,'DB materialer'!AO$3))*(-Q18)*($C$122),"")</f>
        <v/>
      </c>
      <c r="AP18" s="29" t="str">
        <f>IF((SUMIFS(Effektmåling!$J$163:$J$167,Effektmåling!$D$163:$D$167,$B18,$AO$120:$AO$124,'DB materialer'!AP$3))&lt;&gt;0,(SUMIFS(Effektmåling!$J$163:$J$167,Effektmåling!$D$163:$D$167,$B18,$AO$120:$AO$124,'DB materialer'!AP$3))*(-R18)*($C$122),"")</f>
        <v/>
      </c>
      <c r="AQ18" s="29" t="str">
        <f>IF((SUMIFS(Effektmåling!$J$163:$J$167,Effektmåling!$D$163:$D$167,$B18,$AO$120:$AO$124,'DB materialer'!AQ$3))&lt;&gt;0,(SUMIFS(Effektmåling!$J$163:$J$167,Effektmåling!$D$163:$D$167,$B18,$AO$120:$AO$124,'DB materialer'!AQ$3))*(-S18)*($C$122),"")</f>
        <v/>
      </c>
      <c r="AR18" s="29" t="str">
        <f>IF((SUMIFS(Effektmåling!$J$163:$J$167,Effektmåling!$D$163:$D$167,$B18,$AO$120:$AO$124,'DB materialer'!AR$3))&lt;&gt;0,(SUMIFS(Effektmåling!$J$163:$J$167,Effektmåling!$D$163:$D$167,$B18,$AO$120:$AO$124,'DB materialer'!AR$3))*(-T18)*($C$122),"")</f>
        <v/>
      </c>
      <c r="AT18" s="30">
        <f>IF((K18-J18)=0,1E-30,K18-J18)</f>
        <v>1.0000000000000001E-30</v>
      </c>
      <c r="AU18" s="40">
        <f>IF((L18-J18)=0,1E-30,L18-J18)</f>
        <v>0.91620882936784154</v>
      </c>
      <c r="AV18" s="41">
        <f>IF((M18-J18)=0,1E-30,M18-J18)</f>
        <v>1.0000000000000001E-30</v>
      </c>
      <c r="AW18" s="40">
        <f>IF((L18-K18)=0,1E-30,L18-K18)</f>
        <v>0.91620882936784154</v>
      </c>
      <c r="AX18" s="41">
        <f>IF((M18-K18)=0,1E-30,M18-K18)</f>
        <v>1.0000000000000001E-30</v>
      </c>
      <c r="AY18" s="41">
        <f>IF((M18-L18)=0,1E-30,M18-L18)</f>
        <v>-0.91620882936784154</v>
      </c>
      <c r="BA18" s="29" t="str">
        <f>IF((SUMIFS(Effektmåling!$J$178:$J$182,Effektmåling!$D$178:$D$182,$B18,$AH$120:$AH$124,BA$3))&lt;&gt;0,(SUMIFS(Effektmåling!$J$178:$J$182,Effektmåling!$D$178:$D$182,$B18,$AH$120:$AH$124,BA$3))*-AT18,"")</f>
        <v/>
      </c>
      <c r="BB18" s="29" t="str">
        <f>IF((SUMIFS(Effektmåling!$J$178:$J$182,Effektmåling!$D$178:$D$182,$B18,$AH$120:$AH$124,BB$3))&lt;&gt;0,(SUMIFS(Effektmåling!$J$178:$J$182,Effektmåling!$D$178:$D$182,$B18,$AH$120:$AH$124,BB$3))*-AU18,"")</f>
        <v/>
      </c>
      <c r="BC18" s="29" t="str">
        <f>IF((SUMIFS(Effektmåling!$J$178:$J$182,Effektmåling!$D$178:$D$182,$B18,$AH$120:$AH$124,BC$3))&lt;&gt;0,(SUMIFS(Effektmåling!$J$178:$J$182,Effektmåling!$D$178:$D$182,$B18,$AH$120:$AH$124,BC$3))*-AV18,"")</f>
        <v/>
      </c>
      <c r="BD18" s="29" t="str">
        <f>IF((SUMIFS(Effektmåling!$J$178:$J$182,Effektmåling!$D$178:$D$182,$B18,$AH$120:$AH$124,BD$3))&lt;&gt;0,(SUMIFS(Effektmåling!$J$178:$J$182,Effektmåling!$D$178:$D$182,$B18,$AH$120:$AH$124,BD$3))*-AW18,"")</f>
        <v/>
      </c>
      <c r="BE18" s="29" t="str">
        <f>IF((SUMIFS(Effektmåling!$J$178:$J$182,Effektmåling!$D$178:$D$182,$B18,$AH$120:$AH$124,BE$3))&lt;&gt;0,(SUMIFS(Effektmåling!$J$178:$J$182,Effektmåling!$D$178:$D$182,$B18,$AH$120:$AH$124,BE$3))*-AX18,"")</f>
        <v/>
      </c>
      <c r="BF18" s="29" t="str">
        <f>IF((SUMIFS(Effektmåling!$J$178:$J$182,Effektmåling!$D$178:$D$182,$B18,$AH$120:$AH$124,BF$3))&lt;&gt;0,(SUMIFS(Effektmåling!$J$178:$J$182,Effektmåling!$D$178:$D$182,$B18,$AH$120:$AH$124,BF$3))*-AY18,"")</f>
        <v/>
      </c>
      <c r="BH18" s="29" t="str">
        <f>IF((SUMIFS(Effektmåling!$J$163:$J$167,Effektmåling!$D$163:$D$167,$B18,$AO$120:$AO$124,BH$3))&lt;&gt;0,(SUMIFS(Effektmåling!$J$163:$J$167,Effektmåling!$D$163:$D$167,$B18,$AO$120:$AO$124,BH$3))*-AT18,"")</f>
        <v/>
      </c>
      <c r="BI18" s="29" t="str">
        <f>IF((SUMIFS(Effektmåling!$J$163:$J$167,Effektmåling!$D$163:$D$167,$B18,$AO$120:$AO$124,BI$3))&lt;&gt;0,(SUMIFS(Effektmåling!$J$163:$J$167,Effektmåling!$D$163:$D$167,$B18,$AO$120:$AO$124,BI$3))*-AU18,"")</f>
        <v/>
      </c>
      <c r="BJ18" s="29" t="str">
        <f>IF((SUMIFS(Effektmåling!$J$163:$J$167,Effektmåling!$D$163:$D$167,$B18,$AO$120:$AO$124,BJ$3))&lt;&gt;0,(SUMIFS(Effektmåling!$J$163:$J$167,Effektmåling!$D$163:$D$167,$B18,$AO$120:$AO$124,BJ$3))*-AV18,"")</f>
        <v/>
      </c>
      <c r="BK18" s="29" t="str">
        <f>IF((SUMIFS(Effektmåling!$J$163:$J$167,Effektmåling!$D$163:$D$167,$B18,$AO$120:$AO$124,BK$3))&lt;&gt;0,(SUMIFS(Effektmåling!$J$163:$J$167,Effektmåling!$D$163:$D$167,$B18,$AO$120:$AO$124,BK$3))*-AW18,"")</f>
        <v/>
      </c>
      <c r="BL18" s="29" t="str">
        <f>IF((SUMIFS(Effektmåling!$J$163:$J$167,Effektmåling!$D$163:$D$167,$B18,$AO$120:$AO$124,BL$3))&lt;&gt;0,(SUMIFS(Effektmåling!$J$163:$J$167,Effektmåling!$D$163:$D$167,$B18,$AO$120:$AO$124,BL$3))*-AX18,"")</f>
        <v/>
      </c>
      <c r="BM18" s="29" t="str">
        <f>IF((SUMIFS(Effektmåling!$J$163:$J$167,Effektmåling!$D$163:$D$167,$B18,$AO$120:$AO$124,BM$3))&lt;&gt;0,(SUMIFS(Effektmåling!$J$163:$J$167,Effektmåling!$D$163:$D$167,$B18,$AO$120:$AO$124,BM$3))*-AY18,"")</f>
        <v/>
      </c>
      <c r="BO18" s="211">
        <f t="shared" ca="1" si="24"/>
        <v>100000</v>
      </c>
      <c r="BP18" s="207" t="str">
        <f t="shared" si="4"/>
        <v>Kopipapir</v>
      </c>
      <c r="BQ18" s="29">
        <f t="shared" ca="1" si="25"/>
        <v>0</v>
      </c>
      <c r="BR18" s="29">
        <f t="shared" ca="1" si="14"/>
        <v>100000</v>
      </c>
      <c r="BS18" s="29"/>
      <c r="BT18" s="29"/>
      <c r="BU18" s="29"/>
      <c r="BV18" s="29"/>
      <c r="BW18" s="212"/>
    </row>
    <row r="19" spans="1:75" ht="21" x14ac:dyDescent="0.15">
      <c r="A19" s="19">
        <f t="shared" si="5"/>
        <v>15</v>
      </c>
      <c r="B19" s="19" t="s">
        <v>261</v>
      </c>
      <c r="C19" s="19">
        <v>1</v>
      </c>
      <c r="D19" s="22">
        <v>1.0965</v>
      </c>
      <c r="E19" s="22">
        <v>0.87019999999999997</v>
      </c>
      <c r="F19" s="105">
        <v>1.44</v>
      </c>
      <c r="G19" s="22">
        <v>0.627</v>
      </c>
      <c r="H19" s="119">
        <v>0</v>
      </c>
      <c r="I19" s="74">
        <v>0</v>
      </c>
      <c r="J19" s="119">
        <v>0</v>
      </c>
      <c r="K19" s="74">
        <v>0</v>
      </c>
      <c r="L19" s="130">
        <v>0.91620882936784154</v>
      </c>
      <c r="M19" s="74">
        <v>0</v>
      </c>
      <c r="O19" s="142">
        <f t="shared" si="18"/>
        <v>0.56979999999999997</v>
      </c>
      <c r="P19" s="142">
        <f t="shared" si="19"/>
        <v>-0.24319999999999997</v>
      </c>
      <c r="Q19" s="142">
        <f t="shared" si="20"/>
        <v>-0.87019999999999997</v>
      </c>
      <c r="R19" s="142">
        <f t="shared" si="21"/>
        <v>-0.81299999999999994</v>
      </c>
      <c r="S19" s="142">
        <f t="shared" si="22"/>
        <v>-1.44</v>
      </c>
      <c r="T19" s="142">
        <f t="shared" si="23"/>
        <v>-0.627</v>
      </c>
      <c r="V19" s="29">
        <f ca="1">SUMIF(Effektmåling!$D$53:$E$57,'DB materialer'!B19,Effektmåling!$H$53:$H$57)</f>
        <v>0</v>
      </c>
      <c r="W19" s="477" t="str">
        <f ca="1">IF((V19*D19)=0,"",IF(Effektmåling!$Q$241="Ja",1.3*(V19*D19),V19*D19))</f>
        <v/>
      </c>
      <c r="X19" s="29" t="str">
        <f ca="1">IF(W19="","",RANK(W19,$W$7:$W$56,0)+COUNTIF($W$7:W19,W19)-1)</f>
        <v/>
      </c>
      <c r="Y19" s="29" t="str">
        <f ca="1">IF((V19*I19)=0,"",V19*I19)</f>
        <v/>
      </c>
      <c r="AA19" s="29">
        <f ca="1">$C$122*SUMIF(Effektmåling!$D$128:$E$132,'DB materialer'!$B19,Effektmåling!$I$128:$I$132)</f>
        <v>0</v>
      </c>
      <c r="AB19" s="477" t="str">
        <f ca="1">IF((AA19*D19)=0,"",IF(Effektmåling!$Q$241="Ja",1.3*(AA19*D19),AA19*D19))</f>
        <v/>
      </c>
      <c r="AC19" s="29" t="str">
        <f ca="1">IF(AB19="","",RANK(AB19,$AB$7:$AB$56,0)+COUNTIF($AB$7:AB19,AB19)-1)</f>
        <v/>
      </c>
      <c r="AD19" s="29">
        <f ca="1">IF((AA19*I19)=0,0,AA19*I19)</f>
        <v>0</v>
      </c>
      <c r="AE19" s="29"/>
      <c r="AF19" s="29" t="str">
        <f>IF((SUMIFS(Effektmåling!$J$178:$J$182,Effektmåling!$D$178:$D$182,$B19,$AH$120:$AH$124,'DB materialer'!AF$3))&lt;&gt;0,(SUMIFS(Effektmåling!$J$178:$J$182,Effektmåling!$D$178:$D$182,$B19,$AH$120:$AH$124,'DB materialer'!AF$3))*-O19,"")</f>
        <v/>
      </c>
      <c r="AG19" s="29" t="str">
        <f>IF((SUMIFS(Effektmåling!$J$178:$J$182,Effektmåling!$D$178:$D$182,$B19,$AH$120:$AH$124,'DB materialer'!AG$3))&lt;&gt;0,(SUMIFS(Effektmåling!$J$178:$J$182,Effektmåling!$D$178:$D$182,$B19,$AH$120:$AH$124,'DB materialer'!AG$3))*-P19,"")</f>
        <v/>
      </c>
      <c r="AH19" s="29" t="str">
        <f>IF((SUMIFS(Effektmåling!$J$178:$J$182,Effektmåling!$D$178:$D$182,$B19,$AH$120:$AH$124,'DB materialer'!AH$3))&lt;&gt;0,(SUMIFS(Effektmåling!$J$178:$J$182,Effektmåling!$D$178:$D$182,$B19,$AH$120:$AH$124,'DB materialer'!AH$3))*-Q19,"")</f>
        <v/>
      </c>
      <c r="AI19" s="29" t="str">
        <f>IF((SUMIFS(Effektmåling!$J$178:$J$182,Effektmåling!$D$178:$D$182,$B19,$AH$120:$AH$124,'DB materialer'!AI$3))&lt;&gt;0,(SUMIFS(Effektmåling!$J$178:$J$182,Effektmåling!$D$178:$D$182,$B19,$AH$120:$AH$124,'DB materialer'!AI$3))*-R19,"")</f>
        <v/>
      </c>
      <c r="AJ19" s="29" t="str">
        <f>IF((SUMIFS(Effektmåling!$J$178:$J$182,Effektmåling!$D$178:$D$182,$B19,$AH$120:$AH$124,'DB materialer'!AJ$3))&lt;&gt;0,(SUMIFS(Effektmåling!$J$178:$J$182,Effektmåling!$D$178:$D$182,$B19,$AH$120:$AH$124,'DB materialer'!AJ$3))*-S19,"")</f>
        <v/>
      </c>
      <c r="AK19" s="29" t="str">
        <f>IF((SUMIFS(Effektmåling!$J$178:$J$182,Effektmåling!$D$178:$D$182,$B19,$AH$120:$AH$124,'DB materialer'!AK$3))&lt;&gt;0,(SUMIFS(Effektmåling!$J$178:$J$182,Effektmåling!$D$178:$D$182,$B19,$AH$120:$AH$124,'DB materialer'!AK$3))*-T19,"")</f>
        <v/>
      </c>
      <c r="AM19" s="29" t="str">
        <f>IF((SUMIFS(Effektmåling!$J$163:$J$167,Effektmåling!$D$163:$D$167,$B19,$AO$120:$AO$124,'DB materialer'!AM$3))&lt;&gt;0,(SUMIFS(Effektmåling!$J$163:$J$167,Effektmåling!$D$163:$D$167,$B19,$AO$120:$AO$124,'DB materialer'!AM$3))*(-O19)*($C$122),"")</f>
        <v/>
      </c>
      <c r="AN19" s="29" t="str">
        <f>IF((SUMIFS(Effektmåling!$J$163:$J$167,Effektmåling!$D$163:$D$167,$B19,$AO$120:$AO$124,'DB materialer'!AN$3))&lt;&gt;0,(SUMIFS(Effektmåling!$J$163:$J$167,Effektmåling!$D$163:$D$167,$B19,$AO$120:$AO$124,'DB materialer'!AN$3))*(-P19)*($C$122),"")</f>
        <v/>
      </c>
      <c r="AO19" s="29" t="str">
        <f>IF((SUMIFS(Effektmåling!$J$163:$J$167,Effektmåling!$D$163:$D$167,$B19,$AO$120:$AO$124,'DB materialer'!AO$3))&lt;&gt;0,(SUMIFS(Effektmåling!$J$163:$J$167,Effektmåling!$D$163:$D$167,$B19,$AO$120:$AO$124,'DB materialer'!AO$3))*(-Q19)*($C$122),"")</f>
        <v/>
      </c>
      <c r="AP19" s="29" t="str">
        <f>IF((SUMIFS(Effektmåling!$J$163:$J$167,Effektmåling!$D$163:$D$167,$B19,$AO$120:$AO$124,'DB materialer'!AP$3))&lt;&gt;0,(SUMIFS(Effektmåling!$J$163:$J$167,Effektmåling!$D$163:$D$167,$B19,$AO$120:$AO$124,'DB materialer'!AP$3))*(-R19)*($C$122),"")</f>
        <v/>
      </c>
      <c r="AQ19" s="29" t="str">
        <f>IF((SUMIFS(Effektmåling!$J$163:$J$167,Effektmåling!$D$163:$D$167,$B19,$AO$120:$AO$124,'DB materialer'!AQ$3))&lt;&gt;0,(SUMIFS(Effektmåling!$J$163:$J$167,Effektmåling!$D$163:$D$167,$B19,$AO$120:$AO$124,'DB materialer'!AQ$3))*(-S19)*($C$122),"")</f>
        <v/>
      </c>
      <c r="AR19" s="29" t="str">
        <f>IF((SUMIFS(Effektmåling!$J$163:$J$167,Effektmåling!$D$163:$D$167,$B19,$AO$120:$AO$124,'DB materialer'!AR$3))&lt;&gt;0,(SUMIFS(Effektmåling!$J$163:$J$167,Effektmåling!$D$163:$D$167,$B19,$AO$120:$AO$124,'DB materialer'!AR$3))*(-T19)*($C$122),"")</f>
        <v/>
      </c>
      <c r="AT19" s="30">
        <f>IF((K19-J19)=0,1E-30,K19-J19)</f>
        <v>1.0000000000000001E-30</v>
      </c>
      <c r="AU19" s="40">
        <f>IF((L19-J19)=0,1E-30,L19-J19)</f>
        <v>0.91620882936784154</v>
      </c>
      <c r="AV19" s="41">
        <f>IF((M19-J19)=0,1E-30,M19-J19)</f>
        <v>1.0000000000000001E-30</v>
      </c>
      <c r="AW19" s="40">
        <f>IF((L19-K19)=0,1E-30,L19-K19)</f>
        <v>0.91620882936784154</v>
      </c>
      <c r="AX19" s="41">
        <f>IF((M19-K19)=0,1E-30,M19-K19)</f>
        <v>1.0000000000000001E-30</v>
      </c>
      <c r="AY19" s="41">
        <f>IF((M19-L19)=0,1E-30,M19-L19)</f>
        <v>-0.91620882936784154</v>
      </c>
      <c r="BA19" s="29" t="str">
        <f>IF((SUMIFS(Effektmåling!$J$178:$J$182,Effektmåling!$D$178:$D$182,$B19,$AH$120:$AH$124,BA$3))&lt;&gt;0,(SUMIFS(Effektmåling!$J$178:$J$182,Effektmåling!$D$178:$D$182,$B19,$AH$120:$AH$124,BA$3))*-AT19,"")</f>
        <v/>
      </c>
      <c r="BB19" s="29" t="str">
        <f>IF((SUMIFS(Effektmåling!$J$178:$J$182,Effektmåling!$D$178:$D$182,$B19,$AH$120:$AH$124,BB$3))&lt;&gt;0,(SUMIFS(Effektmåling!$J$178:$J$182,Effektmåling!$D$178:$D$182,$B19,$AH$120:$AH$124,BB$3))*-AU19,"")</f>
        <v/>
      </c>
      <c r="BC19" s="29" t="str">
        <f>IF((SUMIFS(Effektmåling!$J$178:$J$182,Effektmåling!$D$178:$D$182,$B19,$AH$120:$AH$124,BC$3))&lt;&gt;0,(SUMIFS(Effektmåling!$J$178:$J$182,Effektmåling!$D$178:$D$182,$B19,$AH$120:$AH$124,BC$3))*-AV19,"")</f>
        <v/>
      </c>
      <c r="BD19" s="29" t="str">
        <f>IF((SUMIFS(Effektmåling!$J$178:$J$182,Effektmåling!$D$178:$D$182,$B19,$AH$120:$AH$124,BD$3))&lt;&gt;0,(SUMIFS(Effektmåling!$J$178:$J$182,Effektmåling!$D$178:$D$182,$B19,$AH$120:$AH$124,BD$3))*-AW19,"")</f>
        <v/>
      </c>
      <c r="BE19" s="29" t="str">
        <f>IF((SUMIFS(Effektmåling!$J$178:$J$182,Effektmåling!$D$178:$D$182,$B19,$AH$120:$AH$124,BE$3))&lt;&gt;0,(SUMIFS(Effektmåling!$J$178:$J$182,Effektmåling!$D$178:$D$182,$B19,$AH$120:$AH$124,BE$3))*-AX19,"")</f>
        <v/>
      </c>
      <c r="BF19" s="29" t="str">
        <f>IF((SUMIFS(Effektmåling!$J$178:$J$182,Effektmåling!$D$178:$D$182,$B19,$AH$120:$AH$124,BF$3))&lt;&gt;0,(SUMIFS(Effektmåling!$J$178:$J$182,Effektmåling!$D$178:$D$182,$B19,$AH$120:$AH$124,BF$3))*-AY19,"")</f>
        <v/>
      </c>
      <c r="BH19" s="29" t="str">
        <f>IF((SUMIFS(Effektmåling!$J$163:$J$167,Effektmåling!$D$163:$D$167,$B19,$AO$120:$AO$124,BH$3))&lt;&gt;0,(SUMIFS(Effektmåling!$J$163:$J$167,Effektmåling!$D$163:$D$167,$B19,$AO$120:$AO$124,BH$3))*-AT19,"")</f>
        <v/>
      </c>
      <c r="BI19" s="29" t="str">
        <f>IF((SUMIFS(Effektmåling!$J$163:$J$167,Effektmåling!$D$163:$D$167,$B19,$AO$120:$AO$124,BI$3))&lt;&gt;0,(SUMIFS(Effektmåling!$J$163:$J$167,Effektmåling!$D$163:$D$167,$B19,$AO$120:$AO$124,BI$3))*-AU19,"")</f>
        <v/>
      </c>
      <c r="BJ19" s="29" t="str">
        <f>IF((SUMIFS(Effektmåling!$J$163:$J$167,Effektmåling!$D$163:$D$167,$B19,$AO$120:$AO$124,BJ$3))&lt;&gt;0,(SUMIFS(Effektmåling!$J$163:$J$167,Effektmåling!$D$163:$D$167,$B19,$AO$120:$AO$124,BJ$3))*-AV19,"")</f>
        <v/>
      </c>
      <c r="BK19" s="29" t="str">
        <f>IF((SUMIFS(Effektmåling!$J$163:$J$167,Effektmåling!$D$163:$D$167,$B19,$AO$120:$AO$124,BK$3))&lt;&gt;0,(SUMIFS(Effektmåling!$J$163:$J$167,Effektmåling!$D$163:$D$167,$B19,$AO$120:$AO$124,BK$3))*-AW19,"")</f>
        <v/>
      </c>
      <c r="BL19" s="29" t="str">
        <f>IF((SUMIFS(Effektmåling!$J$163:$J$167,Effektmåling!$D$163:$D$167,$B19,$AO$120:$AO$124,BL$3))&lt;&gt;0,(SUMIFS(Effektmåling!$J$163:$J$167,Effektmåling!$D$163:$D$167,$B19,$AO$120:$AO$124,BL$3))*-AX19,"")</f>
        <v/>
      </c>
      <c r="BM19" s="29" t="str">
        <f>IF((SUMIFS(Effektmåling!$J$163:$J$167,Effektmåling!$D$163:$D$167,$B19,$AO$120:$AO$124,BM$3))&lt;&gt;0,(SUMIFS(Effektmåling!$J$163:$J$167,Effektmåling!$D$163:$D$167,$B19,$AO$120:$AO$124,BM$3))*-AY19,"")</f>
        <v/>
      </c>
      <c r="BO19" s="211">
        <f t="shared" ca="1" si="24"/>
        <v>100000</v>
      </c>
      <c r="BP19" s="207" t="str">
        <f t="shared" si="4"/>
        <v>Pap og Bølgepap</v>
      </c>
      <c r="BQ19" s="29">
        <f t="shared" ca="1" si="25"/>
        <v>0</v>
      </c>
      <c r="BR19" s="29">
        <f t="shared" ca="1" si="14"/>
        <v>100000</v>
      </c>
      <c r="BS19" s="29"/>
      <c r="BT19" s="29"/>
      <c r="BU19" s="29"/>
      <c r="BV19" s="29"/>
      <c r="BW19" s="212"/>
    </row>
    <row r="20" spans="1:75" x14ac:dyDescent="0.15">
      <c r="A20" s="19">
        <f t="shared" si="5"/>
        <v>16</v>
      </c>
      <c r="B20" s="19" t="s">
        <v>262</v>
      </c>
      <c r="C20" s="18" t="s">
        <v>245</v>
      </c>
      <c r="D20" s="18" t="s">
        <v>245</v>
      </c>
      <c r="E20" s="18" t="s">
        <v>245</v>
      </c>
      <c r="F20" s="18" t="s">
        <v>245</v>
      </c>
      <c r="G20" s="18" t="s">
        <v>245</v>
      </c>
      <c r="H20" s="18" t="s">
        <v>245</v>
      </c>
      <c r="I20" s="169" t="s">
        <v>245</v>
      </c>
      <c r="J20" s="18" t="s">
        <v>245</v>
      </c>
      <c r="K20" s="18" t="s">
        <v>245</v>
      </c>
      <c r="L20" s="18" t="s">
        <v>245</v>
      </c>
      <c r="M20" s="18" t="s">
        <v>245</v>
      </c>
      <c r="O20" s="168"/>
      <c r="P20" s="168"/>
      <c r="Q20" s="168"/>
      <c r="R20" s="168"/>
      <c r="S20" s="168"/>
      <c r="T20" s="168"/>
      <c r="V20" s="43"/>
      <c r="W20" s="477"/>
      <c r="X20" s="45"/>
      <c r="Y20" s="45"/>
      <c r="AA20" s="45"/>
      <c r="AB20" s="47"/>
      <c r="AC20" s="45"/>
      <c r="AD20" s="44"/>
      <c r="AE20" s="44"/>
      <c r="AF20" s="45"/>
      <c r="AG20" s="45"/>
      <c r="AH20" s="45"/>
      <c r="AI20" s="45"/>
      <c r="AJ20" s="45"/>
      <c r="AK20" s="45"/>
      <c r="AM20" s="45"/>
      <c r="AN20" s="45"/>
      <c r="AO20" s="45"/>
      <c r="AP20" s="45"/>
      <c r="AQ20" s="45"/>
      <c r="AR20" s="45"/>
      <c r="AT20" s="47"/>
      <c r="AU20" s="149"/>
      <c r="AV20" s="51"/>
      <c r="AW20" s="149"/>
      <c r="AX20" s="51"/>
      <c r="AY20" s="51"/>
      <c r="BA20" s="45"/>
      <c r="BB20" s="45"/>
      <c r="BC20" s="45"/>
      <c r="BD20" s="45"/>
      <c r="BE20" s="45"/>
      <c r="BF20" s="45"/>
      <c r="BH20" s="45"/>
      <c r="BI20" s="45"/>
      <c r="BJ20" s="45"/>
      <c r="BK20" s="45"/>
      <c r="BL20" s="45"/>
      <c r="BM20" s="45"/>
      <c r="BO20" s="211">
        <f t="shared" si="24"/>
        <v>100000</v>
      </c>
      <c r="BP20" s="207" t="str">
        <f t="shared" si="4"/>
        <v>-PLAST-</v>
      </c>
      <c r="BQ20" s="29">
        <f t="shared" si="25"/>
        <v>0</v>
      </c>
      <c r="BR20" s="29">
        <f t="shared" si="14"/>
        <v>100000</v>
      </c>
      <c r="BS20" s="29"/>
      <c r="BT20" s="29"/>
      <c r="BU20" s="29"/>
      <c r="BV20" s="44"/>
      <c r="BW20" s="212"/>
    </row>
    <row r="21" spans="1:75" x14ac:dyDescent="0.15">
      <c r="A21" s="19">
        <f t="shared" si="5"/>
        <v>17</v>
      </c>
      <c r="B21" s="19" t="s">
        <v>263</v>
      </c>
      <c r="C21" s="19">
        <v>1</v>
      </c>
      <c r="D21" s="22">
        <v>3.8723999999999998</v>
      </c>
      <c r="E21" s="22">
        <v>6.8900000000000003E-2</v>
      </c>
      <c r="F21" s="105">
        <v>2.2000000000000002</v>
      </c>
      <c r="G21" s="106">
        <v>0.23719999999999999</v>
      </c>
      <c r="H21" s="119">
        <v>0</v>
      </c>
      <c r="I21" s="127">
        <v>0.19850421686746988</v>
      </c>
      <c r="J21" s="119">
        <v>0</v>
      </c>
      <c r="K21" s="74">
        <v>0</v>
      </c>
      <c r="L21" s="130">
        <v>0.34661042157265071</v>
      </c>
      <c r="M21" s="74">
        <v>0</v>
      </c>
      <c r="O21" s="142">
        <f t="shared" si="18"/>
        <v>2.1311</v>
      </c>
      <c r="P21" s="142">
        <f t="shared" si="19"/>
        <v>0.16830000000000001</v>
      </c>
      <c r="Q21" s="142">
        <f t="shared" si="20"/>
        <v>-6.8900000000000003E-2</v>
      </c>
      <c r="R21" s="142">
        <f t="shared" si="21"/>
        <v>-1.9628000000000001</v>
      </c>
      <c r="S21" s="142">
        <f t="shared" si="22"/>
        <v>-2.2000000000000002</v>
      </c>
      <c r="T21" s="142">
        <f t="shared" si="23"/>
        <v>-0.23719999999999999</v>
      </c>
      <c r="V21" s="29">
        <f ca="1">SUMIF(Effektmåling!$D$53:$E$57,'DB materialer'!B21,Effektmåling!$H$53:$H$57)</f>
        <v>0</v>
      </c>
      <c r="W21" s="477" t="str">
        <f ca="1">IF((V21*D21)=0,"",IF(Effektmåling!$Q$241="Ja",1.3*(V21*D21),V21*D21))</f>
        <v/>
      </c>
      <c r="X21" s="29" t="str">
        <f ca="1">IF(W21="","",RANK(W21,$W$7:$W$56,0)+COUNTIF($W$7:W21,W21)-1)</f>
        <v/>
      </c>
      <c r="Y21" s="29" t="str">
        <f t="shared" ref="Y21:Y30" ca="1" si="36">IF((V21*I21)=0,"",V21*I21)</f>
        <v/>
      </c>
      <c r="AA21" s="29">
        <f ca="1">$C$122*SUMIF(Effektmåling!$D$128:$E$132,'DB materialer'!$B21,Effektmåling!$I$128:$I$132)</f>
        <v>0</v>
      </c>
      <c r="AB21" s="30" t="str">
        <f ca="1">IF((AA21*D21)=0,"",IF(Effektmåling!$Q$241&lt;&gt;"Ja",1.3*(AA21*D21),AA21*D21))</f>
        <v/>
      </c>
      <c r="AC21" s="29" t="str">
        <f ca="1">IF(AB21="","",RANK(AB21,$AB$7:$AB$56,0)+COUNTIF($AB$7:AB21,AB21)-1)</f>
        <v/>
      </c>
      <c r="AD21" s="29" t="str">
        <f t="shared" ref="AD21:AD30" ca="1" si="37">IF((AA21*I21)=0,"",AA21*I21)</f>
        <v/>
      </c>
      <c r="AE21" s="29"/>
      <c r="AF21" s="29" t="str">
        <f>IF((SUMIFS(Effektmåling!$J$178:$J$182,Effektmåling!$D$178:$D$182,$B21,$AH$120:$AH$124,'DB materialer'!AF$3))&lt;&gt;0,(SUMIFS(Effektmåling!$J$178:$J$182,Effektmåling!$D$178:$D$182,$B21,$AH$120:$AH$124,'DB materialer'!AF$3))*-O21,"")</f>
        <v/>
      </c>
      <c r="AG21" s="29" t="str">
        <f>IF((SUMIFS(Effektmåling!$J$178:$J$182,Effektmåling!$D$178:$D$182,$B21,$AH$120:$AH$124,'DB materialer'!AG$3))&lt;&gt;0,(SUMIFS(Effektmåling!$J$178:$J$182,Effektmåling!$D$178:$D$182,$B21,$AH$120:$AH$124,'DB materialer'!AG$3))*-P21,"")</f>
        <v/>
      </c>
      <c r="AH21" s="29" t="str">
        <f>IF((SUMIFS(Effektmåling!$J$178:$J$182,Effektmåling!$D$178:$D$182,$B21,$AH$120:$AH$124,'DB materialer'!AH$3))&lt;&gt;0,(SUMIFS(Effektmåling!$J$178:$J$182,Effektmåling!$D$178:$D$182,$B21,$AH$120:$AH$124,'DB materialer'!AH$3))*-Q21,"")</f>
        <v/>
      </c>
      <c r="AI21" s="29" t="str">
        <f>IF((SUMIFS(Effektmåling!$J$178:$J$182,Effektmåling!$D$178:$D$182,$B21,$AH$120:$AH$124,'DB materialer'!AI$3))&lt;&gt;0,(SUMIFS(Effektmåling!$J$178:$J$182,Effektmåling!$D$178:$D$182,$B21,$AH$120:$AH$124,'DB materialer'!AI$3))*-R21,"")</f>
        <v/>
      </c>
      <c r="AJ21" s="29" t="str">
        <f>IF((SUMIFS(Effektmåling!$J$178:$J$182,Effektmåling!$D$178:$D$182,$B21,$AH$120:$AH$124,'DB materialer'!AJ$3))&lt;&gt;0,(SUMIFS(Effektmåling!$J$178:$J$182,Effektmåling!$D$178:$D$182,$B21,$AH$120:$AH$124,'DB materialer'!AJ$3))*-S21,"")</f>
        <v/>
      </c>
      <c r="AK21" s="29" t="str">
        <f>IF((SUMIFS(Effektmåling!$J$178:$J$182,Effektmåling!$D$178:$D$182,$B21,$AH$120:$AH$124,'DB materialer'!AK$3))&lt;&gt;0,(SUMIFS(Effektmåling!$J$178:$J$182,Effektmåling!$D$178:$D$182,$B21,$AH$120:$AH$124,'DB materialer'!AK$3))*-T21,"")</f>
        <v/>
      </c>
      <c r="AM21" s="29" t="str">
        <f>IF((SUMIFS(Effektmåling!$J$163:$J$167,Effektmåling!$D$163:$D$167,$B21,$AO$120:$AO$124,'DB materialer'!AM$3))&lt;&gt;0,(SUMIFS(Effektmåling!$J$163:$J$167,Effektmåling!$D$163:$D$167,$B21,$AO$120:$AO$124,'DB materialer'!AM$3))*(-O21)*($C$122),"")</f>
        <v/>
      </c>
      <c r="AN21" s="29" t="str">
        <f>IF((SUMIFS(Effektmåling!$J$163:$J$167,Effektmåling!$D$163:$D$167,$B21,$AO$120:$AO$124,'DB materialer'!AN$3))&lt;&gt;0,(SUMIFS(Effektmåling!$J$163:$J$167,Effektmåling!$D$163:$D$167,$B21,$AO$120:$AO$124,'DB materialer'!AN$3))*(-P21)*($C$122),"")</f>
        <v/>
      </c>
      <c r="AO21" s="29" t="str">
        <f>IF((SUMIFS(Effektmåling!$J$163:$J$167,Effektmåling!$D$163:$D$167,$B21,$AO$120:$AO$124,'DB materialer'!AO$3))&lt;&gt;0,(SUMIFS(Effektmåling!$J$163:$J$167,Effektmåling!$D$163:$D$167,$B21,$AO$120:$AO$124,'DB materialer'!AO$3))*(-Q21)*($C$122),"")</f>
        <v/>
      </c>
      <c r="AP21" s="29" t="str">
        <f>IF((SUMIFS(Effektmåling!$J$163:$J$167,Effektmåling!$D$163:$D$167,$B21,$AO$120:$AO$124,'DB materialer'!AP$3))&lt;&gt;0,(SUMIFS(Effektmåling!$J$163:$J$167,Effektmåling!$D$163:$D$167,$B21,$AO$120:$AO$124,'DB materialer'!AP$3))*(-R21)*($C$122),"")</f>
        <v/>
      </c>
      <c r="AQ21" s="29" t="str">
        <f>IF((SUMIFS(Effektmåling!$J$163:$J$167,Effektmåling!$D$163:$D$167,$B21,$AO$120:$AO$124,'DB materialer'!AQ$3))&lt;&gt;0,(SUMIFS(Effektmåling!$J$163:$J$167,Effektmåling!$D$163:$D$167,$B21,$AO$120:$AO$124,'DB materialer'!AQ$3))*(-S21)*($C$122),"")</f>
        <v/>
      </c>
      <c r="AR21" s="29" t="str">
        <f>IF((SUMIFS(Effektmåling!$J$163:$J$167,Effektmåling!$D$163:$D$167,$B21,$AO$120:$AO$124,'DB materialer'!AR$3))&lt;&gt;0,(SUMIFS(Effektmåling!$J$163:$J$167,Effektmåling!$D$163:$D$167,$B21,$AO$120:$AO$124,'DB materialer'!AR$3))*(-T21)*($C$122),"")</f>
        <v/>
      </c>
      <c r="AT21" s="30">
        <f t="shared" ref="AT21:AT30" si="38">IF((K21-J21)=0,1E-30,K21-J21)</f>
        <v>1.0000000000000001E-30</v>
      </c>
      <c r="AU21" s="40">
        <f t="shared" ref="AU21:AU30" si="39">IF((L21-J21)=0,1E-30,L21-J21)</f>
        <v>0.34661042157265071</v>
      </c>
      <c r="AV21" s="41">
        <f t="shared" ref="AV21:AV30" si="40">IF((M21-J21)=0,1E-30,M21-J21)</f>
        <v>1.0000000000000001E-30</v>
      </c>
      <c r="AW21" s="40">
        <f t="shared" ref="AW21:AW30" si="41">IF((L21-K21)=0,1E-30,L21-K21)</f>
        <v>0.34661042157265071</v>
      </c>
      <c r="AX21" s="41">
        <f t="shared" ref="AX21:AX30" si="42">IF((M21-K21)=0,1E-30,M21-K21)</f>
        <v>1.0000000000000001E-30</v>
      </c>
      <c r="AY21" s="41">
        <f t="shared" ref="AY21:AY30" si="43">IF((M21-L21)=0,1E-30,M21-L21)</f>
        <v>-0.34661042157265071</v>
      </c>
      <c r="BA21" s="29" t="str">
        <f>IF((SUMIFS(Effektmåling!$J$178:$J$182,Effektmåling!$D$178:$D$182,$B21,$AH$120:$AH$124,BA$3))&lt;&gt;0,(SUMIFS(Effektmåling!$J$178:$J$182,Effektmåling!$D$178:$D$182,$B21,$AH$120:$AH$124,BA$3))*-AT21,"")</f>
        <v/>
      </c>
      <c r="BB21" s="29" t="str">
        <f>IF((SUMIFS(Effektmåling!$J$178:$J$182,Effektmåling!$D$178:$D$182,$B21,$AH$120:$AH$124,BB$3))&lt;&gt;0,(SUMIFS(Effektmåling!$J$178:$J$182,Effektmåling!$D$178:$D$182,$B21,$AH$120:$AH$124,BB$3))*-AU21,"")</f>
        <v/>
      </c>
      <c r="BC21" s="29" t="str">
        <f>IF((SUMIFS(Effektmåling!$J$178:$J$182,Effektmåling!$D$178:$D$182,$B21,$AH$120:$AH$124,BC$3))&lt;&gt;0,(SUMIFS(Effektmåling!$J$178:$J$182,Effektmåling!$D$178:$D$182,$B21,$AH$120:$AH$124,BC$3))*-AV21,"")</f>
        <v/>
      </c>
      <c r="BD21" s="29" t="str">
        <f>IF((SUMIFS(Effektmåling!$J$178:$J$182,Effektmåling!$D$178:$D$182,$B21,$AH$120:$AH$124,BD$3))&lt;&gt;0,(SUMIFS(Effektmåling!$J$178:$J$182,Effektmåling!$D$178:$D$182,$B21,$AH$120:$AH$124,BD$3))*-AW21,"")</f>
        <v/>
      </c>
      <c r="BE21" s="29" t="str">
        <f>IF((SUMIFS(Effektmåling!$J$178:$J$182,Effektmåling!$D$178:$D$182,$B21,$AH$120:$AH$124,BE$3))&lt;&gt;0,(SUMIFS(Effektmåling!$J$178:$J$182,Effektmåling!$D$178:$D$182,$B21,$AH$120:$AH$124,BE$3))*-AX21,"")</f>
        <v/>
      </c>
      <c r="BF21" s="29" t="str">
        <f>IF((SUMIFS(Effektmåling!$J$178:$J$182,Effektmåling!$D$178:$D$182,$B21,$AH$120:$AH$124,BF$3))&lt;&gt;0,(SUMIFS(Effektmåling!$J$178:$J$182,Effektmåling!$D$178:$D$182,$B21,$AH$120:$AH$124,BF$3))*-AY21,"")</f>
        <v/>
      </c>
      <c r="BH21" s="29" t="str">
        <f>IF((SUMIFS(Effektmåling!$J$163:$J$167,Effektmåling!$D$163:$D$167,$B21,$AO$120:$AO$124,BH$3))&lt;&gt;0,(SUMIFS(Effektmåling!$J$163:$J$167,Effektmåling!$D$163:$D$167,$B21,$AO$120:$AO$124,BH$3))*-AT21,"")</f>
        <v/>
      </c>
      <c r="BI21" s="29" t="str">
        <f>IF((SUMIFS(Effektmåling!$J$163:$J$167,Effektmåling!$D$163:$D$167,$B21,$AO$120:$AO$124,BI$3))&lt;&gt;0,(SUMIFS(Effektmåling!$J$163:$J$167,Effektmåling!$D$163:$D$167,$B21,$AO$120:$AO$124,BI$3))*-AU21,"")</f>
        <v/>
      </c>
      <c r="BJ21" s="29" t="str">
        <f>IF((SUMIFS(Effektmåling!$J$163:$J$167,Effektmåling!$D$163:$D$167,$B21,$AO$120:$AO$124,BJ$3))&lt;&gt;0,(SUMIFS(Effektmåling!$J$163:$J$167,Effektmåling!$D$163:$D$167,$B21,$AO$120:$AO$124,BJ$3))*-AV21,"")</f>
        <v/>
      </c>
      <c r="BK21" s="29" t="str">
        <f>IF((SUMIFS(Effektmåling!$J$163:$J$167,Effektmåling!$D$163:$D$167,$B21,$AO$120:$AO$124,BK$3))&lt;&gt;0,(SUMIFS(Effektmåling!$J$163:$J$167,Effektmåling!$D$163:$D$167,$B21,$AO$120:$AO$124,BK$3))*-AW21,"")</f>
        <v/>
      </c>
      <c r="BL21" s="29" t="str">
        <f>IF((SUMIFS(Effektmåling!$J$163:$J$167,Effektmåling!$D$163:$D$167,$B21,$AO$120:$AO$124,BL$3))&lt;&gt;0,(SUMIFS(Effektmåling!$J$163:$J$167,Effektmåling!$D$163:$D$167,$B21,$AO$120:$AO$124,BL$3))*-AX21,"")</f>
        <v/>
      </c>
      <c r="BM21" s="29" t="str">
        <f>IF((SUMIFS(Effektmåling!$J$163:$J$167,Effektmåling!$D$163:$D$167,$B21,$AO$120:$AO$124,BM$3))&lt;&gt;0,(SUMIFS(Effektmåling!$J$163:$J$167,Effektmåling!$D$163:$D$167,$B21,$AO$120:$AO$124,BM$3))*-AY21,"")</f>
        <v/>
      </c>
      <c r="BO21" s="211">
        <f t="shared" ca="1" si="24"/>
        <v>100000</v>
      </c>
      <c r="BP21" s="207" t="str">
        <f t="shared" si="4"/>
        <v>ABS</v>
      </c>
      <c r="BQ21" s="29">
        <f t="shared" ca="1" si="25"/>
        <v>0</v>
      </c>
      <c r="BR21" s="29">
        <f t="shared" ca="1" si="14"/>
        <v>100000</v>
      </c>
      <c r="BS21" s="29"/>
      <c r="BT21" s="29"/>
      <c r="BU21" s="29"/>
      <c r="BV21" s="29"/>
      <c r="BW21" s="212"/>
    </row>
    <row r="22" spans="1:75" x14ac:dyDescent="0.15">
      <c r="A22" s="19">
        <f t="shared" si="5"/>
        <v>18</v>
      </c>
      <c r="B22" s="19" t="s">
        <v>264</v>
      </c>
      <c r="C22" s="19">
        <v>1</v>
      </c>
      <c r="D22" s="22">
        <v>9.3154000000000003</v>
      </c>
      <c r="E22" s="22">
        <v>6.8900000000000003E-2</v>
      </c>
      <c r="F22" s="105">
        <v>2.2000000000000002</v>
      </c>
      <c r="G22" s="106">
        <v>0.23719999999999999</v>
      </c>
      <c r="H22" s="119">
        <v>0</v>
      </c>
      <c r="I22" s="127">
        <v>0.19850421686746988</v>
      </c>
      <c r="J22" s="119">
        <v>0</v>
      </c>
      <c r="K22" s="74">
        <v>0</v>
      </c>
      <c r="L22" s="130">
        <v>0.34661042157265071</v>
      </c>
      <c r="M22" s="74">
        <v>0</v>
      </c>
      <c r="O22" s="142">
        <f t="shared" si="18"/>
        <v>2.1311</v>
      </c>
      <c r="P22" s="142">
        <f t="shared" si="19"/>
        <v>0.16830000000000001</v>
      </c>
      <c r="Q22" s="142">
        <f t="shared" si="20"/>
        <v>-6.8900000000000003E-2</v>
      </c>
      <c r="R22" s="142">
        <f t="shared" si="21"/>
        <v>-1.9628000000000001</v>
      </c>
      <c r="S22" s="142">
        <f t="shared" si="22"/>
        <v>-2.2000000000000002</v>
      </c>
      <c r="T22" s="142">
        <f t="shared" si="23"/>
        <v>-0.23719999999999999</v>
      </c>
      <c r="V22" s="29">
        <f ca="1">SUMIF(Effektmåling!$D$53:$E$57,'DB materialer'!B22,Effektmåling!$H$53:$H$57)</f>
        <v>0</v>
      </c>
      <c r="W22" s="477" t="str">
        <f ca="1">IF((V22*D22)=0,"",IF(Effektmåling!$Q$241="Ja",1.3*(V22*D22),V22*D22))</f>
        <v/>
      </c>
      <c r="X22" s="29" t="str">
        <f ca="1">IF(W22="","",RANK(W22,$W$7:$W$56,0)+COUNTIF($W$7:W22,W22)-1)</f>
        <v/>
      </c>
      <c r="Y22" s="29" t="str">
        <f t="shared" ca="1" si="36"/>
        <v/>
      </c>
      <c r="AA22" s="29">
        <f ca="1">$C$122*SUMIF(Effektmåling!$D$128:$E$132,'DB materialer'!$B22,Effektmåling!$I$128:$I$132)</f>
        <v>0</v>
      </c>
      <c r="AB22" s="477" t="str">
        <f ca="1">IF((AA22*D22)=0,"",IF(Effektmåling!$Q$241&lt;&gt;"Ja",1.3*(AA22*D22),AA22*D22))</f>
        <v/>
      </c>
      <c r="AC22" s="29" t="str">
        <f ca="1">IF(AB22="","",RANK(AB22,$AB$7:$AB$56,0)+COUNTIF($AB$7:AB22,AB22)-1)</f>
        <v/>
      </c>
      <c r="AD22" s="29" t="str">
        <f t="shared" ca="1" si="37"/>
        <v/>
      </c>
      <c r="AE22" s="29"/>
      <c r="AF22" s="29" t="str">
        <f>IF((SUMIFS(Effektmåling!$J$178:$J$182,Effektmåling!$D$178:$D$182,$B22,$AH$120:$AH$124,'DB materialer'!AF$3))&lt;&gt;0,(SUMIFS(Effektmåling!$J$178:$J$182,Effektmåling!$D$178:$D$182,$B22,$AH$120:$AH$124,'DB materialer'!AF$3))*-O22,"")</f>
        <v/>
      </c>
      <c r="AG22" s="29" t="str">
        <f>IF((SUMIFS(Effektmåling!$J$178:$J$182,Effektmåling!$D$178:$D$182,$B22,$AH$120:$AH$124,'DB materialer'!AG$3))&lt;&gt;0,(SUMIFS(Effektmåling!$J$178:$J$182,Effektmåling!$D$178:$D$182,$B22,$AH$120:$AH$124,'DB materialer'!AG$3))*-P22,"")</f>
        <v/>
      </c>
      <c r="AH22" s="29" t="str">
        <f>IF((SUMIFS(Effektmåling!$J$178:$J$182,Effektmåling!$D$178:$D$182,$B22,$AH$120:$AH$124,'DB materialer'!AH$3))&lt;&gt;0,(SUMIFS(Effektmåling!$J$178:$J$182,Effektmåling!$D$178:$D$182,$B22,$AH$120:$AH$124,'DB materialer'!AH$3))*-Q22,"")</f>
        <v/>
      </c>
      <c r="AI22" s="29" t="str">
        <f>IF((SUMIFS(Effektmåling!$J$178:$J$182,Effektmåling!$D$178:$D$182,$B22,$AH$120:$AH$124,'DB materialer'!AI$3))&lt;&gt;0,(SUMIFS(Effektmåling!$J$178:$J$182,Effektmåling!$D$178:$D$182,$B22,$AH$120:$AH$124,'DB materialer'!AI$3))*-R22,"")</f>
        <v/>
      </c>
      <c r="AJ22" s="29" t="str">
        <f>IF((SUMIFS(Effektmåling!$J$178:$J$182,Effektmåling!$D$178:$D$182,$B22,$AH$120:$AH$124,'DB materialer'!AJ$3))&lt;&gt;0,(SUMIFS(Effektmåling!$J$178:$J$182,Effektmåling!$D$178:$D$182,$B22,$AH$120:$AH$124,'DB materialer'!AJ$3))*-S22,"")</f>
        <v/>
      </c>
      <c r="AK22" s="29" t="str">
        <f>IF((SUMIFS(Effektmåling!$J$178:$J$182,Effektmåling!$D$178:$D$182,$B22,$AH$120:$AH$124,'DB materialer'!AK$3))&lt;&gt;0,(SUMIFS(Effektmåling!$J$178:$J$182,Effektmåling!$D$178:$D$182,$B22,$AH$120:$AH$124,'DB materialer'!AK$3))*-T22,"")</f>
        <v/>
      </c>
      <c r="AM22" s="29" t="str">
        <f>IF((SUMIFS(Effektmåling!$J$163:$J$167,Effektmåling!$D$163:$D$167,$B22,$AO$120:$AO$124,'DB materialer'!AM$3))&lt;&gt;0,(SUMIFS(Effektmåling!$J$163:$J$167,Effektmåling!$D$163:$D$167,$B22,$AO$120:$AO$124,'DB materialer'!AM$3))*(-O22)*($C$122),"")</f>
        <v/>
      </c>
      <c r="AN22" s="29" t="str">
        <f>IF((SUMIFS(Effektmåling!$J$163:$J$167,Effektmåling!$D$163:$D$167,$B22,$AO$120:$AO$124,'DB materialer'!AN$3))&lt;&gt;0,(SUMIFS(Effektmåling!$J$163:$J$167,Effektmåling!$D$163:$D$167,$B22,$AO$120:$AO$124,'DB materialer'!AN$3))*(-P22)*($C$122),"")</f>
        <v/>
      </c>
      <c r="AO22" s="29" t="str">
        <f>IF((SUMIFS(Effektmåling!$J$163:$J$167,Effektmåling!$D$163:$D$167,$B22,$AO$120:$AO$124,'DB materialer'!AO$3))&lt;&gt;0,(SUMIFS(Effektmåling!$J$163:$J$167,Effektmåling!$D$163:$D$167,$B22,$AO$120:$AO$124,'DB materialer'!AO$3))*(-Q22)*($C$122),"")</f>
        <v/>
      </c>
      <c r="AP22" s="29" t="str">
        <f>IF((SUMIFS(Effektmåling!$J$163:$J$167,Effektmåling!$D$163:$D$167,$B22,$AO$120:$AO$124,'DB materialer'!AP$3))&lt;&gt;0,(SUMIFS(Effektmåling!$J$163:$J$167,Effektmåling!$D$163:$D$167,$B22,$AO$120:$AO$124,'DB materialer'!AP$3))*(-R22)*($C$122),"")</f>
        <v/>
      </c>
      <c r="AQ22" s="29" t="str">
        <f>IF((SUMIFS(Effektmåling!$J$163:$J$167,Effektmåling!$D$163:$D$167,$B22,$AO$120:$AO$124,'DB materialer'!AQ$3))&lt;&gt;0,(SUMIFS(Effektmåling!$J$163:$J$167,Effektmåling!$D$163:$D$167,$B22,$AO$120:$AO$124,'DB materialer'!AQ$3))*(-S22)*($C$122),"")</f>
        <v/>
      </c>
      <c r="AR22" s="29" t="str">
        <f>IF((SUMIFS(Effektmåling!$J$163:$J$167,Effektmåling!$D$163:$D$167,$B22,$AO$120:$AO$124,'DB materialer'!AR$3))&lt;&gt;0,(SUMIFS(Effektmåling!$J$163:$J$167,Effektmåling!$D$163:$D$167,$B22,$AO$120:$AO$124,'DB materialer'!AR$3))*(-T22)*($C$122),"")</f>
        <v/>
      </c>
      <c r="AT22" s="30">
        <f t="shared" si="38"/>
        <v>1.0000000000000001E-30</v>
      </c>
      <c r="AU22" s="40">
        <f t="shared" si="39"/>
        <v>0.34661042157265071</v>
      </c>
      <c r="AV22" s="41">
        <f t="shared" si="40"/>
        <v>1.0000000000000001E-30</v>
      </c>
      <c r="AW22" s="40">
        <f t="shared" si="41"/>
        <v>0.34661042157265071</v>
      </c>
      <c r="AX22" s="41">
        <f t="shared" si="42"/>
        <v>1.0000000000000001E-30</v>
      </c>
      <c r="AY22" s="41">
        <f t="shared" si="43"/>
        <v>-0.34661042157265071</v>
      </c>
      <c r="BA22" s="29" t="str">
        <f>IF((SUMIFS(Effektmåling!$J$178:$J$182,Effektmåling!$D$178:$D$182,$B22,$AH$120:$AH$124,BA$3))&lt;&gt;0,(SUMIFS(Effektmåling!$J$178:$J$182,Effektmåling!$D$178:$D$182,$B22,$AH$120:$AH$124,BA$3))*-AT22,"")</f>
        <v/>
      </c>
      <c r="BB22" s="29" t="str">
        <f>IF((SUMIFS(Effektmåling!$J$178:$J$182,Effektmåling!$D$178:$D$182,$B22,$AH$120:$AH$124,BB$3))&lt;&gt;0,(SUMIFS(Effektmåling!$J$178:$J$182,Effektmåling!$D$178:$D$182,$B22,$AH$120:$AH$124,BB$3))*-AU22,"")</f>
        <v/>
      </c>
      <c r="BC22" s="29" t="str">
        <f>IF((SUMIFS(Effektmåling!$J$178:$J$182,Effektmåling!$D$178:$D$182,$B22,$AH$120:$AH$124,BC$3))&lt;&gt;0,(SUMIFS(Effektmåling!$J$178:$J$182,Effektmåling!$D$178:$D$182,$B22,$AH$120:$AH$124,BC$3))*-AV22,"")</f>
        <v/>
      </c>
      <c r="BD22" s="29" t="str">
        <f>IF((SUMIFS(Effektmåling!$J$178:$J$182,Effektmåling!$D$178:$D$182,$B22,$AH$120:$AH$124,BD$3))&lt;&gt;0,(SUMIFS(Effektmåling!$J$178:$J$182,Effektmåling!$D$178:$D$182,$B22,$AH$120:$AH$124,BD$3))*-AW22,"")</f>
        <v/>
      </c>
      <c r="BE22" s="29" t="str">
        <f>IF((SUMIFS(Effektmåling!$J$178:$J$182,Effektmåling!$D$178:$D$182,$B22,$AH$120:$AH$124,BE$3))&lt;&gt;0,(SUMIFS(Effektmåling!$J$178:$J$182,Effektmåling!$D$178:$D$182,$B22,$AH$120:$AH$124,BE$3))*-AX22,"")</f>
        <v/>
      </c>
      <c r="BF22" s="29" t="str">
        <f>IF((SUMIFS(Effektmåling!$J$178:$J$182,Effektmåling!$D$178:$D$182,$B22,$AH$120:$AH$124,BF$3))&lt;&gt;0,(SUMIFS(Effektmåling!$J$178:$J$182,Effektmåling!$D$178:$D$182,$B22,$AH$120:$AH$124,BF$3))*-AY22,"")</f>
        <v/>
      </c>
      <c r="BH22" s="29" t="str">
        <f>IF((SUMIFS(Effektmåling!$J$163:$J$167,Effektmåling!$D$163:$D$167,$B22,$AO$120:$AO$124,BH$3))&lt;&gt;0,(SUMIFS(Effektmåling!$J$163:$J$167,Effektmåling!$D$163:$D$167,$B22,$AO$120:$AO$124,BH$3))*-AT22,"")</f>
        <v/>
      </c>
      <c r="BI22" s="29" t="str">
        <f>IF((SUMIFS(Effektmåling!$J$163:$J$167,Effektmåling!$D$163:$D$167,$B22,$AO$120:$AO$124,BI$3))&lt;&gt;0,(SUMIFS(Effektmåling!$J$163:$J$167,Effektmåling!$D$163:$D$167,$B22,$AO$120:$AO$124,BI$3))*-AU22,"")</f>
        <v/>
      </c>
      <c r="BJ22" s="29" t="str">
        <f>IF((SUMIFS(Effektmåling!$J$163:$J$167,Effektmåling!$D$163:$D$167,$B22,$AO$120:$AO$124,BJ$3))&lt;&gt;0,(SUMIFS(Effektmåling!$J$163:$J$167,Effektmåling!$D$163:$D$167,$B22,$AO$120:$AO$124,BJ$3))*-AV22,"")</f>
        <v/>
      </c>
      <c r="BK22" s="29" t="str">
        <f>IF((SUMIFS(Effektmåling!$J$163:$J$167,Effektmåling!$D$163:$D$167,$B22,$AO$120:$AO$124,BK$3))&lt;&gt;0,(SUMIFS(Effektmåling!$J$163:$J$167,Effektmåling!$D$163:$D$167,$B22,$AO$120:$AO$124,BK$3))*-AW22,"")</f>
        <v/>
      </c>
      <c r="BL22" s="29" t="str">
        <f>IF((SUMIFS(Effektmåling!$J$163:$J$167,Effektmåling!$D$163:$D$167,$B22,$AO$120:$AO$124,BL$3))&lt;&gt;0,(SUMIFS(Effektmåling!$J$163:$J$167,Effektmåling!$D$163:$D$167,$B22,$AO$120:$AO$124,BL$3))*-AX22,"")</f>
        <v/>
      </c>
      <c r="BM22" s="29" t="str">
        <f>IF((SUMIFS(Effektmåling!$J$163:$J$167,Effektmåling!$D$163:$D$167,$B22,$AO$120:$AO$124,BM$3))&lt;&gt;0,(SUMIFS(Effektmåling!$J$163:$J$167,Effektmåling!$D$163:$D$167,$B22,$AO$120:$AO$124,BM$3))*-AY22,"")</f>
        <v/>
      </c>
      <c r="BO22" s="211">
        <f t="shared" ca="1" si="24"/>
        <v>100000</v>
      </c>
      <c r="BP22" s="207" t="str">
        <f t="shared" si="4"/>
        <v>PA-6</v>
      </c>
      <c r="BQ22" s="29">
        <f t="shared" ca="1" si="25"/>
        <v>0</v>
      </c>
      <c r="BR22" s="29">
        <f t="shared" ca="1" si="14"/>
        <v>100000</v>
      </c>
      <c r="BS22" s="29"/>
      <c r="BT22" s="29"/>
      <c r="BU22" s="29"/>
      <c r="BV22" s="29"/>
      <c r="BW22" s="212"/>
    </row>
    <row r="23" spans="1:75" x14ac:dyDescent="0.15">
      <c r="A23" s="19">
        <f t="shared" si="5"/>
        <v>19</v>
      </c>
      <c r="B23" s="19" t="s">
        <v>265</v>
      </c>
      <c r="C23" s="19">
        <v>1</v>
      </c>
      <c r="D23" s="22">
        <v>7.7984</v>
      </c>
      <c r="E23" s="22">
        <v>6.8900000000000003E-2</v>
      </c>
      <c r="F23" s="105">
        <v>2.84</v>
      </c>
      <c r="G23" s="106">
        <v>0.23719999999999999</v>
      </c>
      <c r="H23" s="119">
        <v>0</v>
      </c>
      <c r="I23" s="127">
        <v>0.19850421686746988</v>
      </c>
      <c r="J23" s="119">
        <v>0</v>
      </c>
      <c r="K23" s="74">
        <v>0</v>
      </c>
      <c r="L23" s="130">
        <v>0.34661042157265071</v>
      </c>
      <c r="M23" s="74">
        <v>0</v>
      </c>
      <c r="O23" s="142">
        <f t="shared" si="18"/>
        <v>2.7710999999999997</v>
      </c>
      <c r="P23" s="142">
        <f t="shared" si="19"/>
        <v>0.16830000000000001</v>
      </c>
      <c r="Q23" s="142">
        <f t="shared" si="20"/>
        <v>-6.8900000000000003E-2</v>
      </c>
      <c r="R23" s="142">
        <f t="shared" si="21"/>
        <v>-2.6027999999999998</v>
      </c>
      <c r="S23" s="142">
        <f t="shared" si="22"/>
        <v>-2.84</v>
      </c>
      <c r="T23" s="142">
        <f t="shared" si="23"/>
        <v>-0.23719999999999999</v>
      </c>
      <c r="V23" s="29">
        <f ca="1">SUMIF(Effektmåling!$D$53:$E$57,'DB materialer'!B23,Effektmåling!$H$53:$H$57)</f>
        <v>0</v>
      </c>
      <c r="W23" s="477" t="str">
        <f ca="1">IF((V23*D23)=0,"",IF(Effektmåling!$Q$241="Ja",1.3*(V23*D23),V23*D23))</f>
        <v/>
      </c>
      <c r="X23" s="29" t="str">
        <f ca="1">IF(W23="","",RANK(W23,$W$7:$W$56,0)+COUNTIF($W$7:W23,W23)-1)</f>
        <v/>
      </c>
      <c r="Y23" s="29" t="str">
        <f t="shared" ca="1" si="36"/>
        <v/>
      </c>
      <c r="AA23" s="29">
        <f ca="1">$C$122*SUMIF(Effektmåling!$D$128:$E$132,'DB materialer'!$B23,Effektmåling!$I$128:$I$132)</f>
        <v>0</v>
      </c>
      <c r="AB23" s="477" t="str">
        <f ca="1">IF((AA23*D23)=0,"",IF(Effektmåling!$Q$241&lt;&gt;"Ja",1.3*(AA23*D23),AA23*D23))</f>
        <v/>
      </c>
      <c r="AC23" s="29" t="str">
        <f ca="1">IF(AB23="","",RANK(AB23,$AB$7:$AB$56,0)+COUNTIF($AB$7:AB23,AB23)-1)</f>
        <v/>
      </c>
      <c r="AD23" s="29" t="str">
        <f t="shared" ca="1" si="37"/>
        <v/>
      </c>
      <c r="AE23" s="29"/>
      <c r="AF23" s="29" t="str">
        <f>IF((SUMIFS(Effektmåling!$J$178:$J$182,Effektmåling!$D$178:$D$182,$B23,$AH$120:$AH$124,'DB materialer'!AF$3))&lt;&gt;0,(SUMIFS(Effektmåling!$J$178:$J$182,Effektmåling!$D$178:$D$182,$B23,$AH$120:$AH$124,'DB materialer'!AF$3))*-O23,"")</f>
        <v/>
      </c>
      <c r="AG23" s="29" t="str">
        <f>IF((SUMIFS(Effektmåling!$J$178:$J$182,Effektmåling!$D$178:$D$182,$B23,$AH$120:$AH$124,'DB materialer'!AG$3))&lt;&gt;0,(SUMIFS(Effektmåling!$J$178:$J$182,Effektmåling!$D$178:$D$182,$B23,$AH$120:$AH$124,'DB materialer'!AG$3))*-P23,"")</f>
        <v/>
      </c>
      <c r="AH23" s="29" t="str">
        <f>IF((SUMIFS(Effektmåling!$J$178:$J$182,Effektmåling!$D$178:$D$182,$B23,$AH$120:$AH$124,'DB materialer'!AH$3))&lt;&gt;0,(SUMIFS(Effektmåling!$J$178:$J$182,Effektmåling!$D$178:$D$182,$B23,$AH$120:$AH$124,'DB materialer'!AH$3))*-Q23,"")</f>
        <v/>
      </c>
      <c r="AI23" s="29" t="str">
        <f>IF((SUMIFS(Effektmåling!$J$178:$J$182,Effektmåling!$D$178:$D$182,$B23,$AH$120:$AH$124,'DB materialer'!AI$3))&lt;&gt;0,(SUMIFS(Effektmåling!$J$178:$J$182,Effektmåling!$D$178:$D$182,$B23,$AH$120:$AH$124,'DB materialer'!AI$3))*-R23,"")</f>
        <v/>
      </c>
      <c r="AJ23" s="29" t="str">
        <f>IF((SUMIFS(Effektmåling!$J$178:$J$182,Effektmåling!$D$178:$D$182,$B23,$AH$120:$AH$124,'DB materialer'!AJ$3))&lt;&gt;0,(SUMIFS(Effektmåling!$J$178:$J$182,Effektmåling!$D$178:$D$182,$B23,$AH$120:$AH$124,'DB materialer'!AJ$3))*-S23,"")</f>
        <v/>
      </c>
      <c r="AK23" s="29" t="str">
        <f>IF((SUMIFS(Effektmåling!$J$178:$J$182,Effektmåling!$D$178:$D$182,$B23,$AH$120:$AH$124,'DB materialer'!AK$3))&lt;&gt;0,(SUMIFS(Effektmåling!$J$178:$J$182,Effektmåling!$D$178:$D$182,$B23,$AH$120:$AH$124,'DB materialer'!AK$3))*-T23,"")</f>
        <v/>
      </c>
      <c r="AM23" s="29" t="str">
        <f>IF((SUMIFS(Effektmåling!$J$163:$J$167,Effektmåling!$D$163:$D$167,$B23,$AO$120:$AO$124,'DB materialer'!AM$3))&lt;&gt;0,(SUMIFS(Effektmåling!$J$163:$J$167,Effektmåling!$D$163:$D$167,$B23,$AO$120:$AO$124,'DB materialer'!AM$3))*(-O23)*($C$122),"")</f>
        <v/>
      </c>
      <c r="AN23" s="29" t="str">
        <f>IF((SUMIFS(Effektmåling!$J$163:$J$167,Effektmåling!$D$163:$D$167,$B23,$AO$120:$AO$124,'DB materialer'!AN$3))&lt;&gt;0,(SUMIFS(Effektmåling!$J$163:$J$167,Effektmåling!$D$163:$D$167,$B23,$AO$120:$AO$124,'DB materialer'!AN$3))*(-P23)*($C$122),"")</f>
        <v/>
      </c>
      <c r="AO23" s="29" t="str">
        <f>IF((SUMIFS(Effektmåling!$J$163:$J$167,Effektmåling!$D$163:$D$167,$B23,$AO$120:$AO$124,'DB materialer'!AO$3))&lt;&gt;0,(SUMIFS(Effektmåling!$J$163:$J$167,Effektmåling!$D$163:$D$167,$B23,$AO$120:$AO$124,'DB materialer'!AO$3))*(-Q23)*($C$122),"")</f>
        <v/>
      </c>
      <c r="AP23" s="29" t="str">
        <f>IF((SUMIFS(Effektmåling!$J$163:$J$167,Effektmåling!$D$163:$D$167,$B23,$AO$120:$AO$124,'DB materialer'!AP$3))&lt;&gt;0,(SUMIFS(Effektmåling!$J$163:$J$167,Effektmåling!$D$163:$D$167,$B23,$AO$120:$AO$124,'DB materialer'!AP$3))*(-R23)*($C$122),"")</f>
        <v/>
      </c>
      <c r="AQ23" s="29" t="str">
        <f>IF((SUMIFS(Effektmåling!$J$163:$J$167,Effektmåling!$D$163:$D$167,$B23,$AO$120:$AO$124,'DB materialer'!AQ$3))&lt;&gt;0,(SUMIFS(Effektmåling!$J$163:$J$167,Effektmåling!$D$163:$D$167,$B23,$AO$120:$AO$124,'DB materialer'!AQ$3))*(-S23)*($C$122),"")</f>
        <v/>
      </c>
      <c r="AR23" s="29" t="str">
        <f>IF((SUMIFS(Effektmåling!$J$163:$J$167,Effektmåling!$D$163:$D$167,$B23,$AO$120:$AO$124,'DB materialer'!AR$3))&lt;&gt;0,(SUMIFS(Effektmåling!$J$163:$J$167,Effektmåling!$D$163:$D$167,$B23,$AO$120:$AO$124,'DB materialer'!AR$3))*(-T23)*($C$122),"")</f>
        <v/>
      </c>
      <c r="AT23" s="30">
        <f t="shared" si="38"/>
        <v>1.0000000000000001E-30</v>
      </c>
      <c r="AU23" s="40">
        <f t="shared" si="39"/>
        <v>0.34661042157265071</v>
      </c>
      <c r="AV23" s="41">
        <f t="shared" si="40"/>
        <v>1.0000000000000001E-30</v>
      </c>
      <c r="AW23" s="40">
        <f t="shared" si="41"/>
        <v>0.34661042157265071</v>
      </c>
      <c r="AX23" s="41">
        <f t="shared" si="42"/>
        <v>1.0000000000000001E-30</v>
      </c>
      <c r="AY23" s="41">
        <f t="shared" si="43"/>
        <v>-0.34661042157265071</v>
      </c>
      <c r="BA23" s="29" t="str">
        <f>IF((SUMIFS(Effektmåling!$J$178:$J$182,Effektmåling!$D$178:$D$182,$B23,$AH$120:$AH$124,BA$3))&lt;&gt;0,(SUMIFS(Effektmåling!$J$178:$J$182,Effektmåling!$D$178:$D$182,$B23,$AH$120:$AH$124,BA$3))*-AT23,"")</f>
        <v/>
      </c>
      <c r="BB23" s="29" t="str">
        <f>IF((SUMIFS(Effektmåling!$J$178:$J$182,Effektmåling!$D$178:$D$182,$B23,$AH$120:$AH$124,BB$3))&lt;&gt;0,(SUMIFS(Effektmåling!$J$178:$J$182,Effektmåling!$D$178:$D$182,$B23,$AH$120:$AH$124,BB$3))*-AU23,"")</f>
        <v/>
      </c>
      <c r="BC23" s="29" t="str">
        <f>IF((SUMIFS(Effektmåling!$J$178:$J$182,Effektmåling!$D$178:$D$182,$B23,$AH$120:$AH$124,BC$3))&lt;&gt;0,(SUMIFS(Effektmåling!$J$178:$J$182,Effektmåling!$D$178:$D$182,$B23,$AH$120:$AH$124,BC$3))*-AV23,"")</f>
        <v/>
      </c>
      <c r="BD23" s="29" t="str">
        <f>IF((SUMIFS(Effektmåling!$J$178:$J$182,Effektmåling!$D$178:$D$182,$B23,$AH$120:$AH$124,BD$3))&lt;&gt;0,(SUMIFS(Effektmåling!$J$178:$J$182,Effektmåling!$D$178:$D$182,$B23,$AH$120:$AH$124,BD$3))*-AW23,"")</f>
        <v/>
      </c>
      <c r="BE23" s="29" t="str">
        <f>IF((SUMIFS(Effektmåling!$J$178:$J$182,Effektmåling!$D$178:$D$182,$B23,$AH$120:$AH$124,BE$3))&lt;&gt;0,(SUMIFS(Effektmåling!$J$178:$J$182,Effektmåling!$D$178:$D$182,$B23,$AH$120:$AH$124,BE$3))*-AX23,"")</f>
        <v/>
      </c>
      <c r="BF23" s="29" t="str">
        <f>IF((SUMIFS(Effektmåling!$J$178:$J$182,Effektmåling!$D$178:$D$182,$B23,$AH$120:$AH$124,BF$3))&lt;&gt;0,(SUMIFS(Effektmåling!$J$178:$J$182,Effektmåling!$D$178:$D$182,$B23,$AH$120:$AH$124,BF$3))*-AY23,"")</f>
        <v/>
      </c>
      <c r="BH23" s="29" t="str">
        <f>IF((SUMIFS(Effektmåling!$J$163:$J$167,Effektmåling!$D$163:$D$167,$B23,$AO$120:$AO$124,BH$3))&lt;&gt;0,(SUMIFS(Effektmåling!$J$163:$J$167,Effektmåling!$D$163:$D$167,$B23,$AO$120:$AO$124,BH$3))*-AT23,"")</f>
        <v/>
      </c>
      <c r="BI23" s="29" t="str">
        <f>IF((SUMIFS(Effektmåling!$J$163:$J$167,Effektmåling!$D$163:$D$167,$B23,$AO$120:$AO$124,BI$3))&lt;&gt;0,(SUMIFS(Effektmåling!$J$163:$J$167,Effektmåling!$D$163:$D$167,$B23,$AO$120:$AO$124,BI$3))*-AU23,"")</f>
        <v/>
      </c>
      <c r="BJ23" s="29" t="str">
        <f>IF((SUMIFS(Effektmåling!$J$163:$J$167,Effektmåling!$D$163:$D$167,$B23,$AO$120:$AO$124,BJ$3))&lt;&gt;0,(SUMIFS(Effektmåling!$J$163:$J$167,Effektmåling!$D$163:$D$167,$B23,$AO$120:$AO$124,BJ$3))*-AV23,"")</f>
        <v/>
      </c>
      <c r="BK23" s="29" t="str">
        <f>IF((SUMIFS(Effektmåling!$J$163:$J$167,Effektmåling!$D$163:$D$167,$B23,$AO$120:$AO$124,BK$3))&lt;&gt;0,(SUMIFS(Effektmåling!$J$163:$J$167,Effektmåling!$D$163:$D$167,$B23,$AO$120:$AO$124,BK$3))*-AW23,"")</f>
        <v/>
      </c>
      <c r="BL23" s="29" t="str">
        <f>IF((SUMIFS(Effektmåling!$J$163:$J$167,Effektmåling!$D$163:$D$167,$B23,$AO$120:$AO$124,BL$3))&lt;&gt;0,(SUMIFS(Effektmåling!$J$163:$J$167,Effektmåling!$D$163:$D$167,$B23,$AO$120:$AO$124,BL$3))*-AX23,"")</f>
        <v/>
      </c>
      <c r="BM23" s="29" t="str">
        <f>IF((SUMIFS(Effektmåling!$J$163:$J$167,Effektmåling!$D$163:$D$167,$B23,$AO$120:$AO$124,BM$3))&lt;&gt;0,(SUMIFS(Effektmåling!$J$163:$J$167,Effektmåling!$D$163:$D$167,$B23,$AO$120:$AO$124,BM$3))*-AY23,"")</f>
        <v/>
      </c>
      <c r="BO23" s="211">
        <f t="shared" ca="1" si="24"/>
        <v>100000</v>
      </c>
      <c r="BP23" s="207" t="str">
        <f t="shared" si="4"/>
        <v>PC</v>
      </c>
      <c r="BQ23" s="29">
        <f t="shared" ca="1" si="25"/>
        <v>0</v>
      </c>
      <c r="BR23" s="29">
        <f t="shared" ca="1" si="14"/>
        <v>100000</v>
      </c>
      <c r="BS23" s="29"/>
      <c r="BT23" s="29"/>
      <c r="BU23" s="29"/>
      <c r="BV23" s="29"/>
      <c r="BW23" s="212"/>
    </row>
    <row r="24" spans="1:75" x14ac:dyDescent="0.15">
      <c r="A24" s="19">
        <f t="shared" si="5"/>
        <v>20</v>
      </c>
      <c r="B24" s="19" t="s">
        <v>266</v>
      </c>
      <c r="C24" s="19">
        <v>1</v>
      </c>
      <c r="D24" s="22">
        <v>2.1644000000000001</v>
      </c>
      <c r="E24" s="22">
        <v>6.8900000000000003E-2</v>
      </c>
      <c r="F24" s="105">
        <v>3.23</v>
      </c>
      <c r="G24" s="106">
        <v>0.23719999999999999</v>
      </c>
      <c r="H24" s="119">
        <v>0</v>
      </c>
      <c r="I24" s="127">
        <v>0.19850421686746988</v>
      </c>
      <c r="J24" s="119">
        <v>0</v>
      </c>
      <c r="K24" s="74">
        <v>0</v>
      </c>
      <c r="L24" s="130">
        <v>0.34661042157265071</v>
      </c>
      <c r="M24" s="74">
        <v>0</v>
      </c>
      <c r="O24" s="142">
        <f t="shared" si="18"/>
        <v>3.1610999999999998</v>
      </c>
      <c r="P24" s="142">
        <f t="shared" si="19"/>
        <v>0.16830000000000001</v>
      </c>
      <c r="Q24" s="142">
        <f t="shared" si="20"/>
        <v>-6.8900000000000003E-2</v>
      </c>
      <c r="R24" s="142">
        <f t="shared" si="21"/>
        <v>-2.9927999999999999</v>
      </c>
      <c r="S24" s="142">
        <f t="shared" si="22"/>
        <v>-3.23</v>
      </c>
      <c r="T24" s="142">
        <f t="shared" si="23"/>
        <v>-0.23719999999999999</v>
      </c>
      <c r="V24" s="29">
        <f ca="1">SUMIF(Effektmåling!$D$53:$E$57,'DB materialer'!B24,Effektmåling!$H$53:$H$57)</f>
        <v>0</v>
      </c>
      <c r="W24" s="477" t="str">
        <f ca="1">IF((V24*D24)=0,"",IF(Effektmåling!$Q$241="Ja",1.3*(V24*D24),V24*D24))</f>
        <v/>
      </c>
      <c r="X24" s="29" t="str">
        <f ca="1">IF(W24="","",RANK(W24,$W$7:$W$56,0)+COUNTIF($W$7:W24,W24)-1)</f>
        <v/>
      </c>
      <c r="Y24" s="29" t="str">
        <f t="shared" ca="1" si="36"/>
        <v/>
      </c>
      <c r="AA24" s="29">
        <f ca="1">$C$122*SUMIF(Effektmåling!$D$128:$E$132,'DB materialer'!$B24,Effektmåling!$I$128:$I$132)</f>
        <v>0</v>
      </c>
      <c r="AB24" s="477" t="str">
        <f ca="1">IF((AA24*D24)=0,"",IF(Effektmåling!$Q$241&lt;&gt;"Ja",1.3*(AA24*D24),AA24*D24))</f>
        <v/>
      </c>
      <c r="AC24" s="29" t="str">
        <f ca="1">IF(AB24="","",RANK(AB24,$AB$7:$AB$56,0)+COUNTIF($AB$7:AB24,AB24)-1)</f>
        <v/>
      </c>
      <c r="AD24" s="29" t="str">
        <f t="shared" ca="1" si="37"/>
        <v/>
      </c>
      <c r="AE24" s="29"/>
      <c r="AF24" s="29" t="str">
        <f>IF((SUMIFS(Effektmåling!$J$178:$J$182,Effektmåling!$D$178:$D$182,$B24,$AH$120:$AH$124,'DB materialer'!AF$3))&lt;&gt;0,(SUMIFS(Effektmåling!$J$178:$J$182,Effektmåling!$D$178:$D$182,$B24,$AH$120:$AH$124,'DB materialer'!AF$3))*-O24,"")</f>
        <v/>
      </c>
      <c r="AG24" s="29" t="str">
        <f>IF((SUMIFS(Effektmåling!$J$178:$J$182,Effektmåling!$D$178:$D$182,$B24,$AH$120:$AH$124,'DB materialer'!AG$3))&lt;&gt;0,(SUMIFS(Effektmåling!$J$178:$J$182,Effektmåling!$D$178:$D$182,$B24,$AH$120:$AH$124,'DB materialer'!AG$3))*-P24,"")</f>
        <v/>
      </c>
      <c r="AH24" s="29" t="str">
        <f>IF((SUMIFS(Effektmåling!$J$178:$J$182,Effektmåling!$D$178:$D$182,$B24,$AH$120:$AH$124,'DB materialer'!AH$3))&lt;&gt;0,(SUMIFS(Effektmåling!$J$178:$J$182,Effektmåling!$D$178:$D$182,$B24,$AH$120:$AH$124,'DB materialer'!AH$3))*-Q24,"")</f>
        <v/>
      </c>
      <c r="AI24" s="29" t="str">
        <f>IF((SUMIFS(Effektmåling!$J$178:$J$182,Effektmåling!$D$178:$D$182,$B24,$AH$120:$AH$124,'DB materialer'!AI$3))&lt;&gt;0,(SUMIFS(Effektmåling!$J$178:$J$182,Effektmåling!$D$178:$D$182,$B24,$AH$120:$AH$124,'DB materialer'!AI$3))*-R24,"")</f>
        <v/>
      </c>
      <c r="AJ24" s="29" t="str">
        <f>IF((SUMIFS(Effektmåling!$J$178:$J$182,Effektmåling!$D$178:$D$182,$B24,$AH$120:$AH$124,'DB materialer'!AJ$3))&lt;&gt;0,(SUMIFS(Effektmåling!$J$178:$J$182,Effektmåling!$D$178:$D$182,$B24,$AH$120:$AH$124,'DB materialer'!AJ$3))*-S24,"")</f>
        <v/>
      </c>
      <c r="AK24" s="29" t="str">
        <f>IF((SUMIFS(Effektmåling!$J$178:$J$182,Effektmåling!$D$178:$D$182,$B24,$AH$120:$AH$124,'DB materialer'!AK$3))&lt;&gt;0,(SUMIFS(Effektmåling!$J$178:$J$182,Effektmåling!$D$178:$D$182,$B24,$AH$120:$AH$124,'DB materialer'!AK$3))*-T24,"")</f>
        <v/>
      </c>
      <c r="AM24" s="29" t="str">
        <f>IF((SUMIFS(Effektmåling!$J$163:$J$167,Effektmåling!$D$163:$D$167,$B24,$AO$120:$AO$124,'DB materialer'!AM$3))&lt;&gt;0,(SUMIFS(Effektmåling!$J$163:$J$167,Effektmåling!$D$163:$D$167,$B24,$AO$120:$AO$124,'DB materialer'!AM$3))*(-O24)*($C$122),"")</f>
        <v/>
      </c>
      <c r="AN24" s="29" t="str">
        <f>IF((SUMIFS(Effektmåling!$J$163:$J$167,Effektmåling!$D$163:$D$167,$B24,$AO$120:$AO$124,'DB materialer'!AN$3))&lt;&gt;0,(SUMIFS(Effektmåling!$J$163:$J$167,Effektmåling!$D$163:$D$167,$B24,$AO$120:$AO$124,'DB materialer'!AN$3))*(-P24)*($C$122),"")</f>
        <v/>
      </c>
      <c r="AO24" s="29" t="str">
        <f>IF((SUMIFS(Effektmåling!$J$163:$J$167,Effektmåling!$D$163:$D$167,$B24,$AO$120:$AO$124,'DB materialer'!AO$3))&lt;&gt;0,(SUMIFS(Effektmåling!$J$163:$J$167,Effektmåling!$D$163:$D$167,$B24,$AO$120:$AO$124,'DB materialer'!AO$3))*(-Q24)*($C$122),"")</f>
        <v/>
      </c>
      <c r="AP24" s="29" t="str">
        <f>IF((SUMIFS(Effektmåling!$J$163:$J$167,Effektmåling!$D$163:$D$167,$B24,$AO$120:$AO$124,'DB materialer'!AP$3))&lt;&gt;0,(SUMIFS(Effektmåling!$J$163:$J$167,Effektmåling!$D$163:$D$167,$B24,$AO$120:$AO$124,'DB materialer'!AP$3))*(-R24)*($C$122),"")</f>
        <v/>
      </c>
      <c r="AQ24" s="29" t="str">
        <f>IF((SUMIFS(Effektmåling!$J$163:$J$167,Effektmåling!$D$163:$D$167,$B24,$AO$120:$AO$124,'DB materialer'!AQ$3))&lt;&gt;0,(SUMIFS(Effektmåling!$J$163:$J$167,Effektmåling!$D$163:$D$167,$B24,$AO$120:$AO$124,'DB materialer'!AQ$3))*(-S24)*($C$122),"")</f>
        <v/>
      </c>
      <c r="AR24" s="29" t="str">
        <f>IF((SUMIFS(Effektmåling!$J$163:$J$167,Effektmåling!$D$163:$D$167,$B24,$AO$120:$AO$124,'DB materialer'!AR$3))&lt;&gt;0,(SUMIFS(Effektmåling!$J$163:$J$167,Effektmåling!$D$163:$D$167,$B24,$AO$120:$AO$124,'DB materialer'!AR$3))*(-T24)*($C$122),"")</f>
        <v/>
      </c>
      <c r="AT24" s="30">
        <f t="shared" si="38"/>
        <v>1.0000000000000001E-30</v>
      </c>
      <c r="AU24" s="40">
        <f t="shared" si="39"/>
        <v>0.34661042157265071</v>
      </c>
      <c r="AV24" s="41">
        <f t="shared" si="40"/>
        <v>1.0000000000000001E-30</v>
      </c>
      <c r="AW24" s="40">
        <f t="shared" si="41"/>
        <v>0.34661042157265071</v>
      </c>
      <c r="AX24" s="41">
        <f t="shared" si="42"/>
        <v>1.0000000000000001E-30</v>
      </c>
      <c r="AY24" s="41">
        <f t="shared" si="43"/>
        <v>-0.34661042157265071</v>
      </c>
      <c r="BA24" s="29" t="str">
        <f>IF((SUMIFS(Effektmåling!$J$178:$J$182,Effektmåling!$D$178:$D$182,$B24,$AH$120:$AH$124,BA$3))&lt;&gt;0,(SUMIFS(Effektmåling!$J$178:$J$182,Effektmåling!$D$178:$D$182,$B24,$AH$120:$AH$124,BA$3))*-AT24,"")</f>
        <v/>
      </c>
      <c r="BB24" s="29" t="str">
        <f>IF((SUMIFS(Effektmåling!$J$178:$J$182,Effektmåling!$D$178:$D$182,$B24,$AH$120:$AH$124,BB$3))&lt;&gt;0,(SUMIFS(Effektmåling!$J$178:$J$182,Effektmåling!$D$178:$D$182,$B24,$AH$120:$AH$124,BB$3))*-AU24,"")</f>
        <v/>
      </c>
      <c r="BC24" s="29" t="str">
        <f>IF((SUMIFS(Effektmåling!$J$178:$J$182,Effektmåling!$D$178:$D$182,$B24,$AH$120:$AH$124,BC$3))&lt;&gt;0,(SUMIFS(Effektmåling!$J$178:$J$182,Effektmåling!$D$178:$D$182,$B24,$AH$120:$AH$124,BC$3))*-AV24,"")</f>
        <v/>
      </c>
      <c r="BD24" s="29" t="str">
        <f>IF((SUMIFS(Effektmåling!$J$178:$J$182,Effektmåling!$D$178:$D$182,$B24,$AH$120:$AH$124,BD$3))&lt;&gt;0,(SUMIFS(Effektmåling!$J$178:$J$182,Effektmåling!$D$178:$D$182,$B24,$AH$120:$AH$124,BD$3))*-AW24,"")</f>
        <v/>
      </c>
      <c r="BE24" s="29" t="str">
        <f>IF((SUMIFS(Effektmåling!$J$178:$J$182,Effektmåling!$D$178:$D$182,$B24,$AH$120:$AH$124,BE$3))&lt;&gt;0,(SUMIFS(Effektmåling!$J$178:$J$182,Effektmåling!$D$178:$D$182,$B24,$AH$120:$AH$124,BE$3))*-AX24,"")</f>
        <v/>
      </c>
      <c r="BF24" s="29" t="str">
        <f>IF((SUMIFS(Effektmåling!$J$178:$J$182,Effektmåling!$D$178:$D$182,$B24,$AH$120:$AH$124,BF$3))&lt;&gt;0,(SUMIFS(Effektmåling!$J$178:$J$182,Effektmåling!$D$178:$D$182,$B24,$AH$120:$AH$124,BF$3))*-AY24,"")</f>
        <v/>
      </c>
      <c r="BH24" s="29" t="str">
        <f>IF((SUMIFS(Effektmåling!$J$163:$J$167,Effektmåling!$D$163:$D$167,$B24,$AO$120:$AO$124,BH$3))&lt;&gt;0,(SUMIFS(Effektmåling!$J$163:$J$167,Effektmåling!$D$163:$D$167,$B24,$AO$120:$AO$124,BH$3))*-AT24,"")</f>
        <v/>
      </c>
      <c r="BI24" s="29" t="str">
        <f>IF((SUMIFS(Effektmåling!$J$163:$J$167,Effektmåling!$D$163:$D$167,$B24,$AO$120:$AO$124,BI$3))&lt;&gt;0,(SUMIFS(Effektmåling!$J$163:$J$167,Effektmåling!$D$163:$D$167,$B24,$AO$120:$AO$124,BI$3))*-AU24,"")</f>
        <v/>
      </c>
      <c r="BJ24" s="29" t="str">
        <f>IF((SUMIFS(Effektmåling!$J$163:$J$167,Effektmåling!$D$163:$D$167,$B24,$AO$120:$AO$124,BJ$3))&lt;&gt;0,(SUMIFS(Effektmåling!$J$163:$J$167,Effektmåling!$D$163:$D$167,$B24,$AO$120:$AO$124,BJ$3))*-AV24,"")</f>
        <v/>
      </c>
      <c r="BK24" s="29" t="str">
        <f>IF((SUMIFS(Effektmåling!$J$163:$J$167,Effektmåling!$D$163:$D$167,$B24,$AO$120:$AO$124,BK$3))&lt;&gt;0,(SUMIFS(Effektmåling!$J$163:$J$167,Effektmåling!$D$163:$D$167,$B24,$AO$120:$AO$124,BK$3))*-AW24,"")</f>
        <v/>
      </c>
      <c r="BL24" s="29" t="str">
        <f>IF((SUMIFS(Effektmåling!$J$163:$J$167,Effektmåling!$D$163:$D$167,$B24,$AO$120:$AO$124,BL$3))&lt;&gt;0,(SUMIFS(Effektmåling!$J$163:$J$167,Effektmåling!$D$163:$D$167,$B24,$AO$120:$AO$124,BL$3))*-AX24,"")</f>
        <v/>
      </c>
      <c r="BM24" s="29" t="str">
        <f>IF((SUMIFS(Effektmåling!$J$163:$J$167,Effektmåling!$D$163:$D$167,$B24,$AO$120:$AO$124,BM$3))&lt;&gt;0,(SUMIFS(Effektmåling!$J$163:$J$167,Effektmåling!$D$163:$D$167,$B24,$AO$120:$AO$124,BM$3))*-AY24,"")</f>
        <v/>
      </c>
      <c r="BO24" s="211">
        <f t="shared" ca="1" si="24"/>
        <v>100000</v>
      </c>
      <c r="BP24" s="207" t="str">
        <f t="shared" si="4"/>
        <v>PE, LD</v>
      </c>
      <c r="BQ24" s="29">
        <f t="shared" ca="1" si="25"/>
        <v>0</v>
      </c>
      <c r="BR24" s="29">
        <f t="shared" ca="1" si="14"/>
        <v>100000</v>
      </c>
      <c r="BS24" s="29"/>
      <c r="BT24" s="29"/>
      <c r="BU24" s="29"/>
      <c r="BV24" s="29"/>
      <c r="BW24" s="212"/>
    </row>
    <row r="25" spans="1:75" x14ac:dyDescent="0.15">
      <c r="A25" s="19">
        <f t="shared" si="5"/>
        <v>21</v>
      </c>
      <c r="B25" s="19" t="s">
        <v>267</v>
      </c>
      <c r="C25" s="19">
        <v>1</v>
      </c>
      <c r="D25" s="22">
        <v>1.9885999999999999</v>
      </c>
      <c r="E25" s="22">
        <v>6.8900000000000003E-2</v>
      </c>
      <c r="F25" s="105">
        <v>3.23</v>
      </c>
      <c r="G25" s="106">
        <v>0.23719999999999999</v>
      </c>
      <c r="H25" s="119">
        <v>0</v>
      </c>
      <c r="I25" s="127">
        <v>0.19850421686746988</v>
      </c>
      <c r="J25" s="119">
        <v>0</v>
      </c>
      <c r="K25" s="74">
        <v>0</v>
      </c>
      <c r="L25" s="130">
        <v>0.34661042157265071</v>
      </c>
      <c r="M25" s="74">
        <v>0</v>
      </c>
      <c r="O25" s="142">
        <f t="shared" si="18"/>
        <v>3.1610999999999998</v>
      </c>
      <c r="P25" s="142">
        <f t="shared" si="19"/>
        <v>0.16830000000000001</v>
      </c>
      <c r="Q25" s="142">
        <f t="shared" si="20"/>
        <v>-6.8900000000000003E-2</v>
      </c>
      <c r="R25" s="142">
        <f t="shared" si="21"/>
        <v>-2.9927999999999999</v>
      </c>
      <c r="S25" s="142">
        <f t="shared" si="22"/>
        <v>-3.23</v>
      </c>
      <c r="T25" s="142">
        <f t="shared" si="23"/>
        <v>-0.23719999999999999</v>
      </c>
      <c r="V25" s="29">
        <f ca="1">SUMIF(Effektmåling!$D$53:$E$57,'DB materialer'!B25,Effektmåling!$H$53:$H$57)</f>
        <v>0</v>
      </c>
      <c r="W25" s="477" t="str">
        <f ca="1">IF((V25*D25)=0,"",IF(Effektmåling!$Q$241="Ja",1.3*(V25*D25),V25*D25))</f>
        <v/>
      </c>
      <c r="X25" s="29" t="str">
        <f ca="1">IF(W25="","",RANK(W25,$W$7:$W$56,0)+COUNTIF($W$7:W25,W25)-1)</f>
        <v/>
      </c>
      <c r="Y25" s="29" t="str">
        <f t="shared" ca="1" si="36"/>
        <v/>
      </c>
      <c r="AA25" s="29">
        <f ca="1">$C$122*SUMIF(Effektmåling!$D$128:$E$132,'DB materialer'!$B25,Effektmåling!$I$128:$I$132)</f>
        <v>0</v>
      </c>
      <c r="AB25" s="477" t="str">
        <f ca="1">IF((AA25*D25)=0,"",IF(Effektmåling!$Q$241&lt;&gt;"Ja",1.3*(AA25*D25),AA25*D25))</f>
        <v/>
      </c>
      <c r="AC25" s="29" t="str">
        <f ca="1">IF(AB25="","",RANK(AB25,$AB$7:$AB$56,0)+COUNTIF($AB$7:AB25,AB25)-1)</f>
        <v/>
      </c>
      <c r="AD25" s="29" t="str">
        <f t="shared" ca="1" si="37"/>
        <v/>
      </c>
      <c r="AE25" s="29"/>
      <c r="AF25" s="29" t="str">
        <f>IF((SUMIFS(Effektmåling!$J$178:$J$182,Effektmåling!$D$178:$D$182,$B25,$AH$120:$AH$124,'DB materialer'!AF$3))&lt;&gt;0,(SUMIFS(Effektmåling!$J$178:$J$182,Effektmåling!$D$178:$D$182,$B25,$AH$120:$AH$124,'DB materialer'!AF$3))*-O25,"")</f>
        <v/>
      </c>
      <c r="AG25" s="29" t="str">
        <f>IF((SUMIFS(Effektmåling!$J$178:$J$182,Effektmåling!$D$178:$D$182,$B25,$AH$120:$AH$124,'DB materialer'!AG$3))&lt;&gt;0,(SUMIFS(Effektmåling!$J$178:$J$182,Effektmåling!$D$178:$D$182,$B25,$AH$120:$AH$124,'DB materialer'!AG$3))*-P25,"")</f>
        <v/>
      </c>
      <c r="AH25" s="29" t="str">
        <f>IF((SUMIFS(Effektmåling!$J$178:$J$182,Effektmåling!$D$178:$D$182,$B25,$AH$120:$AH$124,'DB materialer'!AH$3))&lt;&gt;0,(SUMIFS(Effektmåling!$J$178:$J$182,Effektmåling!$D$178:$D$182,$B25,$AH$120:$AH$124,'DB materialer'!AH$3))*-Q25,"")</f>
        <v/>
      </c>
      <c r="AI25" s="29" t="str">
        <f>IF((SUMIFS(Effektmåling!$J$178:$J$182,Effektmåling!$D$178:$D$182,$B25,$AH$120:$AH$124,'DB materialer'!AI$3))&lt;&gt;0,(SUMIFS(Effektmåling!$J$178:$J$182,Effektmåling!$D$178:$D$182,$B25,$AH$120:$AH$124,'DB materialer'!AI$3))*-R25,"")</f>
        <v/>
      </c>
      <c r="AJ25" s="29" t="str">
        <f>IF((SUMIFS(Effektmåling!$J$178:$J$182,Effektmåling!$D$178:$D$182,$B25,$AH$120:$AH$124,'DB materialer'!AJ$3))&lt;&gt;0,(SUMIFS(Effektmåling!$J$178:$J$182,Effektmåling!$D$178:$D$182,$B25,$AH$120:$AH$124,'DB materialer'!AJ$3))*-S25,"")</f>
        <v/>
      </c>
      <c r="AK25" s="29" t="str">
        <f>IF((SUMIFS(Effektmåling!$J$178:$J$182,Effektmåling!$D$178:$D$182,$B25,$AH$120:$AH$124,'DB materialer'!AK$3))&lt;&gt;0,(SUMIFS(Effektmåling!$J$178:$J$182,Effektmåling!$D$178:$D$182,$B25,$AH$120:$AH$124,'DB materialer'!AK$3))*-T25,"")</f>
        <v/>
      </c>
      <c r="AM25" s="29" t="str">
        <f>IF((SUMIFS(Effektmåling!$J$163:$J$167,Effektmåling!$D$163:$D$167,$B25,$AO$120:$AO$124,'DB materialer'!AM$3))&lt;&gt;0,(SUMIFS(Effektmåling!$J$163:$J$167,Effektmåling!$D$163:$D$167,$B25,$AO$120:$AO$124,'DB materialer'!AM$3))*(-O25)*($C$122),"")</f>
        <v/>
      </c>
      <c r="AN25" s="29" t="str">
        <f>IF((SUMIFS(Effektmåling!$J$163:$J$167,Effektmåling!$D$163:$D$167,$B25,$AO$120:$AO$124,'DB materialer'!AN$3))&lt;&gt;0,(SUMIFS(Effektmåling!$J$163:$J$167,Effektmåling!$D$163:$D$167,$B25,$AO$120:$AO$124,'DB materialer'!AN$3))*(-P25)*($C$122),"")</f>
        <v/>
      </c>
      <c r="AO25" s="29" t="str">
        <f>IF((SUMIFS(Effektmåling!$J$163:$J$167,Effektmåling!$D$163:$D$167,$B25,$AO$120:$AO$124,'DB materialer'!AO$3))&lt;&gt;0,(SUMIFS(Effektmåling!$J$163:$J$167,Effektmåling!$D$163:$D$167,$B25,$AO$120:$AO$124,'DB materialer'!AO$3))*(-Q25)*($C$122),"")</f>
        <v/>
      </c>
      <c r="AP25" s="29" t="str">
        <f>IF((SUMIFS(Effektmåling!$J$163:$J$167,Effektmåling!$D$163:$D$167,$B25,$AO$120:$AO$124,'DB materialer'!AP$3))&lt;&gt;0,(SUMIFS(Effektmåling!$J$163:$J$167,Effektmåling!$D$163:$D$167,$B25,$AO$120:$AO$124,'DB materialer'!AP$3))*(-R25)*($C$122),"")</f>
        <v/>
      </c>
      <c r="AQ25" s="29" t="str">
        <f>IF((SUMIFS(Effektmåling!$J$163:$J$167,Effektmåling!$D$163:$D$167,$B25,$AO$120:$AO$124,'DB materialer'!AQ$3))&lt;&gt;0,(SUMIFS(Effektmåling!$J$163:$J$167,Effektmåling!$D$163:$D$167,$B25,$AO$120:$AO$124,'DB materialer'!AQ$3))*(-S25)*($C$122),"")</f>
        <v/>
      </c>
      <c r="AR25" s="29" t="str">
        <f>IF((SUMIFS(Effektmåling!$J$163:$J$167,Effektmåling!$D$163:$D$167,$B25,$AO$120:$AO$124,'DB materialer'!AR$3))&lt;&gt;0,(SUMIFS(Effektmåling!$J$163:$J$167,Effektmåling!$D$163:$D$167,$B25,$AO$120:$AO$124,'DB materialer'!AR$3))*(-T25)*($C$122),"")</f>
        <v/>
      </c>
      <c r="AT25" s="30">
        <f t="shared" si="38"/>
        <v>1.0000000000000001E-30</v>
      </c>
      <c r="AU25" s="40">
        <f t="shared" si="39"/>
        <v>0.34661042157265071</v>
      </c>
      <c r="AV25" s="41">
        <f t="shared" si="40"/>
        <v>1.0000000000000001E-30</v>
      </c>
      <c r="AW25" s="40">
        <f t="shared" si="41"/>
        <v>0.34661042157265071</v>
      </c>
      <c r="AX25" s="41">
        <f t="shared" si="42"/>
        <v>1.0000000000000001E-30</v>
      </c>
      <c r="AY25" s="41">
        <f t="shared" si="43"/>
        <v>-0.34661042157265071</v>
      </c>
      <c r="BA25" s="29" t="str">
        <f>IF((SUMIFS(Effektmåling!$J$178:$J$182,Effektmåling!$D$178:$D$182,$B25,$AH$120:$AH$124,BA$3))&lt;&gt;0,(SUMIFS(Effektmåling!$J$178:$J$182,Effektmåling!$D$178:$D$182,$B25,$AH$120:$AH$124,BA$3))*-AT25,"")</f>
        <v/>
      </c>
      <c r="BB25" s="29" t="str">
        <f>IF((SUMIFS(Effektmåling!$J$178:$J$182,Effektmåling!$D$178:$D$182,$B25,$AH$120:$AH$124,BB$3))&lt;&gt;0,(SUMIFS(Effektmåling!$J$178:$J$182,Effektmåling!$D$178:$D$182,$B25,$AH$120:$AH$124,BB$3))*-AU25,"")</f>
        <v/>
      </c>
      <c r="BC25" s="29" t="str">
        <f>IF((SUMIFS(Effektmåling!$J$178:$J$182,Effektmåling!$D$178:$D$182,$B25,$AH$120:$AH$124,BC$3))&lt;&gt;0,(SUMIFS(Effektmåling!$J$178:$J$182,Effektmåling!$D$178:$D$182,$B25,$AH$120:$AH$124,BC$3))*-AV25,"")</f>
        <v/>
      </c>
      <c r="BD25" s="29" t="str">
        <f>IF((SUMIFS(Effektmåling!$J$178:$J$182,Effektmåling!$D$178:$D$182,$B25,$AH$120:$AH$124,BD$3))&lt;&gt;0,(SUMIFS(Effektmåling!$J$178:$J$182,Effektmåling!$D$178:$D$182,$B25,$AH$120:$AH$124,BD$3))*-AW25,"")</f>
        <v/>
      </c>
      <c r="BE25" s="29" t="str">
        <f>IF((SUMIFS(Effektmåling!$J$178:$J$182,Effektmåling!$D$178:$D$182,$B25,$AH$120:$AH$124,BE$3))&lt;&gt;0,(SUMIFS(Effektmåling!$J$178:$J$182,Effektmåling!$D$178:$D$182,$B25,$AH$120:$AH$124,BE$3))*-AX25,"")</f>
        <v/>
      </c>
      <c r="BF25" s="29" t="str">
        <f>IF((SUMIFS(Effektmåling!$J$178:$J$182,Effektmåling!$D$178:$D$182,$B25,$AH$120:$AH$124,BF$3))&lt;&gt;0,(SUMIFS(Effektmåling!$J$178:$J$182,Effektmåling!$D$178:$D$182,$B25,$AH$120:$AH$124,BF$3))*-AY25,"")</f>
        <v/>
      </c>
      <c r="BH25" s="29" t="str">
        <f>IF((SUMIFS(Effektmåling!$J$163:$J$167,Effektmåling!$D$163:$D$167,$B25,$AO$120:$AO$124,BH$3))&lt;&gt;0,(SUMIFS(Effektmåling!$J$163:$J$167,Effektmåling!$D$163:$D$167,$B25,$AO$120:$AO$124,BH$3))*-AT25,"")</f>
        <v/>
      </c>
      <c r="BI25" s="29" t="str">
        <f>IF((SUMIFS(Effektmåling!$J$163:$J$167,Effektmåling!$D$163:$D$167,$B25,$AO$120:$AO$124,BI$3))&lt;&gt;0,(SUMIFS(Effektmåling!$J$163:$J$167,Effektmåling!$D$163:$D$167,$B25,$AO$120:$AO$124,BI$3))*-AU25,"")</f>
        <v/>
      </c>
      <c r="BJ25" s="29" t="str">
        <f>IF((SUMIFS(Effektmåling!$J$163:$J$167,Effektmåling!$D$163:$D$167,$B25,$AO$120:$AO$124,BJ$3))&lt;&gt;0,(SUMIFS(Effektmåling!$J$163:$J$167,Effektmåling!$D$163:$D$167,$B25,$AO$120:$AO$124,BJ$3))*-AV25,"")</f>
        <v/>
      </c>
      <c r="BK25" s="29" t="str">
        <f>IF((SUMIFS(Effektmåling!$J$163:$J$167,Effektmåling!$D$163:$D$167,$B25,$AO$120:$AO$124,BK$3))&lt;&gt;0,(SUMIFS(Effektmåling!$J$163:$J$167,Effektmåling!$D$163:$D$167,$B25,$AO$120:$AO$124,BK$3))*-AW25,"")</f>
        <v/>
      </c>
      <c r="BL25" s="29" t="str">
        <f>IF((SUMIFS(Effektmåling!$J$163:$J$167,Effektmåling!$D$163:$D$167,$B25,$AO$120:$AO$124,BL$3))&lt;&gt;0,(SUMIFS(Effektmåling!$J$163:$J$167,Effektmåling!$D$163:$D$167,$B25,$AO$120:$AO$124,BL$3))*-AX25,"")</f>
        <v/>
      </c>
      <c r="BM25" s="29" t="str">
        <f>IF((SUMIFS(Effektmåling!$J$163:$J$167,Effektmåling!$D$163:$D$167,$B25,$AO$120:$AO$124,BM$3))&lt;&gt;0,(SUMIFS(Effektmåling!$J$163:$J$167,Effektmåling!$D$163:$D$167,$B25,$AO$120:$AO$124,BM$3))*-AY25,"")</f>
        <v/>
      </c>
      <c r="BO25" s="211">
        <f t="shared" ca="1" si="24"/>
        <v>100000</v>
      </c>
      <c r="BP25" s="207" t="str">
        <f t="shared" si="4"/>
        <v>PL, HD</v>
      </c>
      <c r="BQ25" s="29">
        <f t="shared" ca="1" si="25"/>
        <v>0</v>
      </c>
      <c r="BR25" s="29">
        <f t="shared" ca="1" si="14"/>
        <v>100000</v>
      </c>
      <c r="BS25" s="29"/>
      <c r="BT25" s="29"/>
      <c r="BU25" s="29"/>
      <c r="BV25" s="29"/>
      <c r="BW25" s="212"/>
    </row>
    <row r="26" spans="1:75" x14ac:dyDescent="0.15">
      <c r="A26" s="19">
        <f t="shared" si="5"/>
        <v>22</v>
      </c>
      <c r="B26" s="19" t="s">
        <v>268</v>
      </c>
      <c r="C26" s="19">
        <v>1</v>
      </c>
      <c r="D26" s="22">
        <v>3.5327000000000002</v>
      </c>
      <c r="E26" s="22">
        <v>6.8900000000000003E-2</v>
      </c>
      <c r="F26" s="105">
        <v>2.35</v>
      </c>
      <c r="G26" s="106">
        <v>0.23719999999999999</v>
      </c>
      <c r="H26" s="119">
        <v>0</v>
      </c>
      <c r="I26" s="127">
        <v>0.19850421686746988</v>
      </c>
      <c r="J26" s="119">
        <v>0</v>
      </c>
      <c r="K26" s="74">
        <v>0</v>
      </c>
      <c r="L26" s="130">
        <v>0.34661042157265071</v>
      </c>
      <c r="M26" s="74">
        <v>0</v>
      </c>
      <c r="O26" s="142">
        <f t="shared" si="18"/>
        <v>2.2810999999999999</v>
      </c>
      <c r="P26" s="142">
        <f t="shared" si="19"/>
        <v>0.16830000000000001</v>
      </c>
      <c r="Q26" s="142">
        <f t="shared" si="20"/>
        <v>-6.8900000000000003E-2</v>
      </c>
      <c r="R26" s="142">
        <f t="shared" si="21"/>
        <v>-2.1128</v>
      </c>
      <c r="S26" s="142">
        <f t="shared" si="22"/>
        <v>-2.35</v>
      </c>
      <c r="T26" s="142">
        <f t="shared" si="23"/>
        <v>-0.23719999999999999</v>
      </c>
      <c r="V26" s="29">
        <f ca="1">SUMIF(Effektmåling!$D$53:$E$57,'DB materialer'!B26,Effektmåling!$H$53:$H$57)</f>
        <v>0</v>
      </c>
      <c r="W26" s="477" t="str">
        <f ca="1">IF((V26*D26)=0,"",IF(Effektmåling!$Q$241="Ja",1.3*(V26*D26),V26*D26))</f>
        <v/>
      </c>
      <c r="X26" s="29" t="str">
        <f ca="1">IF(W26="","",RANK(W26,$W$7:$W$56,0)+COUNTIF($W$7:W26,W26)-1)</f>
        <v/>
      </c>
      <c r="Y26" s="29" t="str">
        <f t="shared" ca="1" si="36"/>
        <v/>
      </c>
      <c r="AA26" s="29">
        <f ca="1">$C$122*SUMIF(Effektmåling!$D$128:$E$132,'DB materialer'!$B26,Effektmåling!$I$128:$I$132)</f>
        <v>0</v>
      </c>
      <c r="AB26" s="477" t="str">
        <f ca="1">IF((AA26*D26)=0,"",IF(Effektmåling!$Q$241&lt;&gt;"Ja",1.3*(AA26*D26),AA26*D26))</f>
        <v/>
      </c>
      <c r="AC26" s="29" t="str">
        <f ca="1">IF(AB26="","",RANK(AB26,$AB$7:$AB$56,0)+COUNTIF($AB$7:AB26,AB26)-1)</f>
        <v/>
      </c>
      <c r="AD26" s="29" t="str">
        <f t="shared" ca="1" si="37"/>
        <v/>
      </c>
      <c r="AE26" s="29"/>
      <c r="AF26" s="29" t="str">
        <f>IF((SUMIFS(Effektmåling!$J$178:$J$182,Effektmåling!$D$178:$D$182,$B26,$AH$120:$AH$124,'DB materialer'!AF$3))&lt;&gt;0,(SUMIFS(Effektmåling!$J$178:$J$182,Effektmåling!$D$178:$D$182,$B26,$AH$120:$AH$124,'DB materialer'!AF$3))*-O26,"")</f>
        <v/>
      </c>
      <c r="AG26" s="29" t="str">
        <f>IF((SUMIFS(Effektmåling!$J$178:$J$182,Effektmåling!$D$178:$D$182,$B26,$AH$120:$AH$124,'DB materialer'!AG$3))&lt;&gt;0,(SUMIFS(Effektmåling!$J$178:$J$182,Effektmåling!$D$178:$D$182,$B26,$AH$120:$AH$124,'DB materialer'!AG$3))*-P26,"")</f>
        <v/>
      </c>
      <c r="AH26" s="29" t="str">
        <f>IF((SUMIFS(Effektmåling!$J$178:$J$182,Effektmåling!$D$178:$D$182,$B26,$AH$120:$AH$124,'DB materialer'!AH$3))&lt;&gt;0,(SUMIFS(Effektmåling!$J$178:$J$182,Effektmåling!$D$178:$D$182,$B26,$AH$120:$AH$124,'DB materialer'!AH$3))*-Q26,"")</f>
        <v/>
      </c>
      <c r="AI26" s="29" t="str">
        <f>IF((SUMIFS(Effektmåling!$J$178:$J$182,Effektmåling!$D$178:$D$182,$B26,$AH$120:$AH$124,'DB materialer'!AI$3))&lt;&gt;0,(SUMIFS(Effektmåling!$J$178:$J$182,Effektmåling!$D$178:$D$182,$B26,$AH$120:$AH$124,'DB materialer'!AI$3))*-R26,"")</f>
        <v/>
      </c>
      <c r="AJ26" s="29" t="str">
        <f>IF((SUMIFS(Effektmåling!$J$178:$J$182,Effektmåling!$D$178:$D$182,$B26,$AH$120:$AH$124,'DB materialer'!AJ$3))&lt;&gt;0,(SUMIFS(Effektmåling!$J$178:$J$182,Effektmåling!$D$178:$D$182,$B26,$AH$120:$AH$124,'DB materialer'!AJ$3))*-S26,"")</f>
        <v/>
      </c>
      <c r="AK26" s="29" t="str">
        <f>IF((SUMIFS(Effektmåling!$J$178:$J$182,Effektmåling!$D$178:$D$182,$B26,$AH$120:$AH$124,'DB materialer'!AK$3))&lt;&gt;0,(SUMIFS(Effektmåling!$J$178:$J$182,Effektmåling!$D$178:$D$182,$B26,$AH$120:$AH$124,'DB materialer'!AK$3))*-T26,"")</f>
        <v/>
      </c>
      <c r="AM26" s="29" t="str">
        <f>IF((SUMIFS(Effektmåling!$J$163:$J$167,Effektmåling!$D$163:$D$167,$B26,$AO$120:$AO$124,'DB materialer'!AM$3))&lt;&gt;0,(SUMIFS(Effektmåling!$J$163:$J$167,Effektmåling!$D$163:$D$167,$B26,$AO$120:$AO$124,'DB materialer'!AM$3))*(-O26)*($C$122),"")</f>
        <v/>
      </c>
      <c r="AN26" s="29" t="str">
        <f>IF((SUMIFS(Effektmåling!$J$163:$J$167,Effektmåling!$D$163:$D$167,$B26,$AO$120:$AO$124,'DB materialer'!AN$3))&lt;&gt;0,(SUMIFS(Effektmåling!$J$163:$J$167,Effektmåling!$D$163:$D$167,$B26,$AO$120:$AO$124,'DB materialer'!AN$3))*(-P26)*($C$122),"")</f>
        <v/>
      </c>
      <c r="AO26" s="29" t="str">
        <f>IF((SUMIFS(Effektmåling!$J$163:$J$167,Effektmåling!$D$163:$D$167,$B26,$AO$120:$AO$124,'DB materialer'!AO$3))&lt;&gt;0,(SUMIFS(Effektmåling!$J$163:$J$167,Effektmåling!$D$163:$D$167,$B26,$AO$120:$AO$124,'DB materialer'!AO$3))*(-Q26)*($C$122),"")</f>
        <v/>
      </c>
      <c r="AP26" s="29" t="str">
        <f>IF((SUMIFS(Effektmåling!$J$163:$J$167,Effektmåling!$D$163:$D$167,$B26,$AO$120:$AO$124,'DB materialer'!AP$3))&lt;&gt;0,(SUMIFS(Effektmåling!$J$163:$J$167,Effektmåling!$D$163:$D$167,$B26,$AO$120:$AO$124,'DB materialer'!AP$3))*(-R26)*($C$122),"")</f>
        <v/>
      </c>
      <c r="AQ26" s="29" t="str">
        <f>IF((SUMIFS(Effektmåling!$J$163:$J$167,Effektmåling!$D$163:$D$167,$B26,$AO$120:$AO$124,'DB materialer'!AQ$3))&lt;&gt;0,(SUMIFS(Effektmåling!$J$163:$J$167,Effektmåling!$D$163:$D$167,$B26,$AO$120:$AO$124,'DB materialer'!AQ$3))*(-S26)*($C$122),"")</f>
        <v/>
      </c>
      <c r="AR26" s="29" t="str">
        <f>IF((SUMIFS(Effektmåling!$J$163:$J$167,Effektmåling!$D$163:$D$167,$B26,$AO$120:$AO$124,'DB materialer'!AR$3))&lt;&gt;0,(SUMIFS(Effektmåling!$J$163:$J$167,Effektmåling!$D$163:$D$167,$B26,$AO$120:$AO$124,'DB materialer'!AR$3))*(-T26)*($C$122),"")</f>
        <v/>
      </c>
      <c r="AT26" s="30">
        <f t="shared" si="38"/>
        <v>1.0000000000000001E-30</v>
      </c>
      <c r="AU26" s="40">
        <f t="shared" si="39"/>
        <v>0.34661042157265071</v>
      </c>
      <c r="AV26" s="41">
        <f t="shared" si="40"/>
        <v>1.0000000000000001E-30</v>
      </c>
      <c r="AW26" s="40">
        <f t="shared" si="41"/>
        <v>0.34661042157265071</v>
      </c>
      <c r="AX26" s="41">
        <f t="shared" si="42"/>
        <v>1.0000000000000001E-30</v>
      </c>
      <c r="AY26" s="41">
        <f t="shared" si="43"/>
        <v>-0.34661042157265071</v>
      </c>
      <c r="BA26" s="29" t="str">
        <f>IF((SUMIFS(Effektmåling!$J$178:$J$182,Effektmåling!$D$178:$D$182,$B26,$AH$120:$AH$124,BA$3))&lt;&gt;0,(SUMIFS(Effektmåling!$J$178:$J$182,Effektmåling!$D$178:$D$182,$B26,$AH$120:$AH$124,BA$3))*-AT26,"")</f>
        <v/>
      </c>
      <c r="BB26" s="29" t="str">
        <f>IF((SUMIFS(Effektmåling!$J$178:$J$182,Effektmåling!$D$178:$D$182,$B26,$AH$120:$AH$124,BB$3))&lt;&gt;0,(SUMIFS(Effektmåling!$J$178:$J$182,Effektmåling!$D$178:$D$182,$B26,$AH$120:$AH$124,BB$3))*-AU26,"")</f>
        <v/>
      </c>
      <c r="BC26" s="29" t="str">
        <f>IF((SUMIFS(Effektmåling!$J$178:$J$182,Effektmåling!$D$178:$D$182,$B26,$AH$120:$AH$124,BC$3))&lt;&gt;0,(SUMIFS(Effektmåling!$J$178:$J$182,Effektmåling!$D$178:$D$182,$B26,$AH$120:$AH$124,BC$3))*-AV26,"")</f>
        <v/>
      </c>
      <c r="BD26" s="29" t="str">
        <f>IF((SUMIFS(Effektmåling!$J$178:$J$182,Effektmåling!$D$178:$D$182,$B26,$AH$120:$AH$124,BD$3))&lt;&gt;0,(SUMIFS(Effektmåling!$J$178:$J$182,Effektmåling!$D$178:$D$182,$B26,$AH$120:$AH$124,BD$3))*-AW26,"")</f>
        <v/>
      </c>
      <c r="BE26" s="29" t="str">
        <f>IF((SUMIFS(Effektmåling!$J$178:$J$182,Effektmåling!$D$178:$D$182,$B26,$AH$120:$AH$124,BE$3))&lt;&gt;0,(SUMIFS(Effektmåling!$J$178:$J$182,Effektmåling!$D$178:$D$182,$B26,$AH$120:$AH$124,BE$3))*-AX26,"")</f>
        <v/>
      </c>
      <c r="BF26" s="29" t="str">
        <f>IF((SUMIFS(Effektmåling!$J$178:$J$182,Effektmåling!$D$178:$D$182,$B26,$AH$120:$AH$124,BF$3))&lt;&gt;0,(SUMIFS(Effektmåling!$J$178:$J$182,Effektmåling!$D$178:$D$182,$B26,$AH$120:$AH$124,BF$3))*-AY26,"")</f>
        <v/>
      </c>
      <c r="BH26" s="29" t="str">
        <f>IF((SUMIFS(Effektmåling!$J$163:$J$167,Effektmåling!$D$163:$D$167,$B26,$AO$120:$AO$124,BH$3))&lt;&gt;0,(SUMIFS(Effektmåling!$J$163:$J$167,Effektmåling!$D$163:$D$167,$B26,$AO$120:$AO$124,BH$3))*-AT26,"")</f>
        <v/>
      </c>
      <c r="BI26" s="29" t="str">
        <f>IF((SUMIFS(Effektmåling!$J$163:$J$167,Effektmåling!$D$163:$D$167,$B26,$AO$120:$AO$124,BI$3))&lt;&gt;0,(SUMIFS(Effektmåling!$J$163:$J$167,Effektmåling!$D$163:$D$167,$B26,$AO$120:$AO$124,BI$3))*-AU26,"")</f>
        <v/>
      </c>
      <c r="BJ26" s="29" t="str">
        <f>IF((SUMIFS(Effektmåling!$J$163:$J$167,Effektmåling!$D$163:$D$167,$B26,$AO$120:$AO$124,BJ$3))&lt;&gt;0,(SUMIFS(Effektmåling!$J$163:$J$167,Effektmåling!$D$163:$D$167,$B26,$AO$120:$AO$124,BJ$3))*-AV26,"")</f>
        <v/>
      </c>
      <c r="BK26" s="29" t="str">
        <f>IF((SUMIFS(Effektmåling!$J$163:$J$167,Effektmåling!$D$163:$D$167,$B26,$AO$120:$AO$124,BK$3))&lt;&gt;0,(SUMIFS(Effektmåling!$J$163:$J$167,Effektmåling!$D$163:$D$167,$B26,$AO$120:$AO$124,BK$3))*-AW26,"")</f>
        <v/>
      </c>
      <c r="BL26" s="29" t="str">
        <f>IF((SUMIFS(Effektmåling!$J$163:$J$167,Effektmåling!$D$163:$D$167,$B26,$AO$120:$AO$124,BL$3))&lt;&gt;0,(SUMIFS(Effektmåling!$J$163:$J$167,Effektmåling!$D$163:$D$167,$B26,$AO$120:$AO$124,BL$3))*-AX26,"")</f>
        <v/>
      </c>
      <c r="BM26" s="29" t="str">
        <f>IF((SUMIFS(Effektmåling!$J$163:$J$167,Effektmåling!$D$163:$D$167,$B26,$AO$120:$AO$124,BM$3))&lt;&gt;0,(SUMIFS(Effektmåling!$J$163:$J$167,Effektmåling!$D$163:$D$167,$B26,$AO$120:$AO$124,BM$3))*-AY26,"")</f>
        <v/>
      </c>
      <c r="BO26" s="211">
        <f t="shared" ca="1" si="24"/>
        <v>100000</v>
      </c>
      <c r="BP26" s="207" t="str">
        <f t="shared" si="4"/>
        <v>PET</v>
      </c>
      <c r="BQ26" s="29">
        <f t="shared" ca="1" si="25"/>
        <v>0</v>
      </c>
      <c r="BR26" s="29">
        <f t="shared" ca="1" si="14"/>
        <v>100000</v>
      </c>
      <c r="BS26" s="29"/>
      <c r="BT26" s="29"/>
      <c r="BU26" s="29"/>
      <c r="BV26" s="29"/>
      <c r="BW26" s="212"/>
    </row>
    <row r="27" spans="1:75" x14ac:dyDescent="0.15">
      <c r="A27" s="19">
        <f t="shared" si="5"/>
        <v>23</v>
      </c>
      <c r="B27" s="19" t="s">
        <v>269</v>
      </c>
      <c r="C27" s="19">
        <v>1</v>
      </c>
      <c r="D27" s="22">
        <v>2.0230000000000001</v>
      </c>
      <c r="E27" s="22">
        <v>6.8900000000000003E-2</v>
      </c>
      <c r="F27" s="105">
        <v>3.23</v>
      </c>
      <c r="G27" s="106">
        <v>0.23719999999999999</v>
      </c>
      <c r="H27" s="119">
        <v>0</v>
      </c>
      <c r="I27" s="127">
        <v>0.19850421686746988</v>
      </c>
      <c r="J27" s="119">
        <v>0</v>
      </c>
      <c r="K27" s="74">
        <v>0</v>
      </c>
      <c r="L27" s="130">
        <v>0.34661042157265071</v>
      </c>
      <c r="M27" s="74">
        <v>0</v>
      </c>
      <c r="O27" s="142">
        <f t="shared" si="18"/>
        <v>3.1610999999999998</v>
      </c>
      <c r="P27" s="142">
        <f t="shared" si="19"/>
        <v>0.16830000000000001</v>
      </c>
      <c r="Q27" s="142">
        <f t="shared" si="20"/>
        <v>-6.8900000000000003E-2</v>
      </c>
      <c r="R27" s="142">
        <f t="shared" si="21"/>
        <v>-2.9927999999999999</v>
      </c>
      <c r="S27" s="142">
        <f t="shared" si="22"/>
        <v>-3.23</v>
      </c>
      <c r="T27" s="142">
        <f t="shared" si="23"/>
        <v>-0.23719999999999999</v>
      </c>
      <c r="V27" s="29">
        <f ca="1">SUMIF(Effektmåling!$D$53:$E$57,'DB materialer'!B27,Effektmåling!$H$53:$H$57)</f>
        <v>0</v>
      </c>
      <c r="W27" s="477" t="str">
        <f ca="1">IF((V27*D27)=0,"",IF(Effektmåling!$Q$241="Ja",1.3*(V27*D27),V27*D27))</f>
        <v/>
      </c>
      <c r="X27" s="29" t="str">
        <f ca="1">IF(W27="","",RANK(W27,$W$7:$W$56,0)+COUNTIF($W$7:W27,W27)-1)</f>
        <v/>
      </c>
      <c r="Y27" s="29" t="str">
        <f t="shared" ca="1" si="36"/>
        <v/>
      </c>
      <c r="AA27" s="29">
        <f ca="1">$C$122*SUMIF(Effektmåling!$D$128:$E$132,'DB materialer'!$B27,Effektmåling!$I$128:$I$132)</f>
        <v>0</v>
      </c>
      <c r="AB27" s="477" t="str">
        <f ca="1">IF((AA27*D27)=0,"",IF(Effektmåling!$Q$241&lt;&gt;"Ja",1.3*(AA27*D27),AA27*D27))</f>
        <v/>
      </c>
      <c r="AC27" s="29" t="str">
        <f ca="1">IF(AB27="","",RANK(AB27,$AB$7:$AB$56,0)+COUNTIF($AB$7:AB27,AB27)-1)</f>
        <v/>
      </c>
      <c r="AD27" s="29" t="str">
        <f t="shared" ca="1" si="37"/>
        <v/>
      </c>
      <c r="AE27" s="29"/>
      <c r="AF27" s="29" t="str">
        <f>IF((SUMIFS(Effektmåling!$J$178:$J$182,Effektmåling!$D$178:$D$182,$B27,$AH$120:$AH$124,'DB materialer'!AF$3))&lt;&gt;0,(SUMIFS(Effektmåling!$J$178:$J$182,Effektmåling!$D$178:$D$182,$B27,$AH$120:$AH$124,'DB materialer'!AF$3))*-O27,"")</f>
        <v/>
      </c>
      <c r="AG27" s="29" t="str">
        <f>IF((SUMIFS(Effektmåling!$J$178:$J$182,Effektmåling!$D$178:$D$182,$B27,$AH$120:$AH$124,'DB materialer'!AG$3))&lt;&gt;0,(SUMIFS(Effektmåling!$J$178:$J$182,Effektmåling!$D$178:$D$182,$B27,$AH$120:$AH$124,'DB materialer'!AG$3))*-P27,"")</f>
        <v/>
      </c>
      <c r="AH27" s="29" t="str">
        <f>IF((SUMIFS(Effektmåling!$J$178:$J$182,Effektmåling!$D$178:$D$182,$B27,$AH$120:$AH$124,'DB materialer'!AH$3))&lt;&gt;0,(SUMIFS(Effektmåling!$J$178:$J$182,Effektmåling!$D$178:$D$182,$B27,$AH$120:$AH$124,'DB materialer'!AH$3))*-Q27,"")</f>
        <v/>
      </c>
      <c r="AI27" s="29" t="str">
        <f>IF((SUMIFS(Effektmåling!$J$178:$J$182,Effektmåling!$D$178:$D$182,$B27,$AH$120:$AH$124,'DB materialer'!AI$3))&lt;&gt;0,(SUMIFS(Effektmåling!$J$178:$J$182,Effektmåling!$D$178:$D$182,$B27,$AH$120:$AH$124,'DB materialer'!AI$3))*-R27,"")</f>
        <v/>
      </c>
      <c r="AJ27" s="29" t="str">
        <f>IF((SUMIFS(Effektmåling!$J$178:$J$182,Effektmåling!$D$178:$D$182,$B27,$AH$120:$AH$124,'DB materialer'!AJ$3))&lt;&gt;0,(SUMIFS(Effektmåling!$J$178:$J$182,Effektmåling!$D$178:$D$182,$B27,$AH$120:$AH$124,'DB materialer'!AJ$3))*-S27,"")</f>
        <v/>
      </c>
      <c r="AK27" s="29" t="str">
        <f>IF((SUMIFS(Effektmåling!$J$178:$J$182,Effektmåling!$D$178:$D$182,$B27,$AH$120:$AH$124,'DB materialer'!AK$3))&lt;&gt;0,(SUMIFS(Effektmåling!$J$178:$J$182,Effektmåling!$D$178:$D$182,$B27,$AH$120:$AH$124,'DB materialer'!AK$3))*-T27,"")</f>
        <v/>
      </c>
      <c r="AM27" s="29" t="str">
        <f>IF((SUMIFS(Effektmåling!$J$163:$J$167,Effektmåling!$D$163:$D$167,$B27,$AO$120:$AO$124,'DB materialer'!AM$3))&lt;&gt;0,(SUMIFS(Effektmåling!$J$163:$J$167,Effektmåling!$D$163:$D$167,$B27,$AO$120:$AO$124,'DB materialer'!AM$3))*(-O27)*($C$122),"")</f>
        <v/>
      </c>
      <c r="AN27" s="29" t="str">
        <f>IF((SUMIFS(Effektmåling!$J$163:$J$167,Effektmåling!$D$163:$D$167,$B27,$AO$120:$AO$124,'DB materialer'!AN$3))&lt;&gt;0,(SUMIFS(Effektmåling!$J$163:$J$167,Effektmåling!$D$163:$D$167,$B27,$AO$120:$AO$124,'DB materialer'!AN$3))*(-P27)*($C$122),"")</f>
        <v/>
      </c>
      <c r="AO27" s="29" t="str">
        <f>IF((SUMIFS(Effektmåling!$J$163:$J$167,Effektmåling!$D$163:$D$167,$B27,$AO$120:$AO$124,'DB materialer'!AO$3))&lt;&gt;0,(SUMIFS(Effektmåling!$J$163:$J$167,Effektmåling!$D$163:$D$167,$B27,$AO$120:$AO$124,'DB materialer'!AO$3))*(-Q27)*($C$122),"")</f>
        <v/>
      </c>
      <c r="AP27" s="29" t="str">
        <f>IF((SUMIFS(Effektmåling!$J$163:$J$167,Effektmåling!$D$163:$D$167,$B27,$AO$120:$AO$124,'DB materialer'!AP$3))&lt;&gt;0,(SUMIFS(Effektmåling!$J$163:$J$167,Effektmåling!$D$163:$D$167,$B27,$AO$120:$AO$124,'DB materialer'!AP$3))*(-R27)*($C$122),"")</f>
        <v/>
      </c>
      <c r="AQ27" s="29" t="str">
        <f>IF((SUMIFS(Effektmåling!$J$163:$J$167,Effektmåling!$D$163:$D$167,$B27,$AO$120:$AO$124,'DB materialer'!AQ$3))&lt;&gt;0,(SUMIFS(Effektmåling!$J$163:$J$167,Effektmåling!$D$163:$D$167,$B27,$AO$120:$AO$124,'DB materialer'!AQ$3))*(-S27)*($C$122),"")</f>
        <v/>
      </c>
      <c r="AR27" s="29" t="str">
        <f>IF((SUMIFS(Effektmåling!$J$163:$J$167,Effektmåling!$D$163:$D$167,$B27,$AO$120:$AO$124,'DB materialer'!AR$3))&lt;&gt;0,(SUMIFS(Effektmåling!$J$163:$J$167,Effektmåling!$D$163:$D$167,$B27,$AO$120:$AO$124,'DB materialer'!AR$3))*(-T27)*($C$122),"")</f>
        <v/>
      </c>
      <c r="AT27" s="30">
        <f t="shared" si="38"/>
        <v>1.0000000000000001E-30</v>
      </c>
      <c r="AU27" s="40">
        <f t="shared" si="39"/>
        <v>0.34661042157265071</v>
      </c>
      <c r="AV27" s="41">
        <f t="shared" si="40"/>
        <v>1.0000000000000001E-30</v>
      </c>
      <c r="AW27" s="40">
        <f t="shared" si="41"/>
        <v>0.34661042157265071</v>
      </c>
      <c r="AX27" s="41">
        <f t="shared" si="42"/>
        <v>1.0000000000000001E-30</v>
      </c>
      <c r="AY27" s="41">
        <f t="shared" si="43"/>
        <v>-0.34661042157265071</v>
      </c>
      <c r="BA27" s="29" t="str">
        <f>IF((SUMIFS(Effektmåling!$J$178:$J$182,Effektmåling!$D$178:$D$182,$B27,$AH$120:$AH$124,BA$3))&lt;&gt;0,(SUMIFS(Effektmåling!$J$178:$J$182,Effektmåling!$D$178:$D$182,$B27,$AH$120:$AH$124,BA$3))*-AT27,"")</f>
        <v/>
      </c>
      <c r="BB27" s="29" t="str">
        <f>IF((SUMIFS(Effektmåling!$J$178:$J$182,Effektmåling!$D$178:$D$182,$B27,$AH$120:$AH$124,BB$3))&lt;&gt;0,(SUMIFS(Effektmåling!$J$178:$J$182,Effektmåling!$D$178:$D$182,$B27,$AH$120:$AH$124,BB$3))*-AU27,"")</f>
        <v/>
      </c>
      <c r="BC27" s="29" t="str">
        <f>IF((SUMIFS(Effektmåling!$J$178:$J$182,Effektmåling!$D$178:$D$182,$B27,$AH$120:$AH$124,BC$3))&lt;&gt;0,(SUMIFS(Effektmåling!$J$178:$J$182,Effektmåling!$D$178:$D$182,$B27,$AH$120:$AH$124,BC$3))*-AV27,"")</f>
        <v/>
      </c>
      <c r="BD27" s="29" t="str">
        <f>IF((SUMIFS(Effektmåling!$J$178:$J$182,Effektmåling!$D$178:$D$182,$B27,$AH$120:$AH$124,BD$3))&lt;&gt;0,(SUMIFS(Effektmåling!$J$178:$J$182,Effektmåling!$D$178:$D$182,$B27,$AH$120:$AH$124,BD$3))*-AW27,"")</f>
        <v/>
      </c>
      <c r="BE27" s="29" t="str">
        <f>IF((SUMIFS(Effektmåling!$J$178:$J$182,Effektmåling!$D$178:$D$182,$B27,$AH$120:$AH$124,BE$3))&lt;&gt;0,(SUMIFS(Effektmåling!$J$178:$J$182,Effektmåling!$D$178:$D$182,$B27,$AH$120:$AH$124,BE$3))*-AX27,"")</f>
        <v/>
      </c>
      <c r="BF27" s="29" t="str">
        <f>IF((SUMIFS(Effektmåling!$J$178:$J$182,Effektmåling!$D$178:$D$182,$B27,$AH$120:$AH$124,BF$3))&lt;&gt;0,(SUMIFS(Effektmåling!$J$178:$J$182,Effektmåling!$D$178:$D$182,$B27,$AH$120:$AH$124,BF$3))*-AY27,"")</f>
        <v/>
      </c>
      <c r="BH27" s="29" t="str">
        <f>IF((SUMIFS(Effektmåling!$J$163:$J$167,Effektmåling!$D$163:$D$167,$B27,$AO$120:$AO$124,BH$3))&lt;&gt;0,(SUMIFS(Effektmåling!$J$163:$J$167,Effektmåling!$D$163:$D$167,$B27,$AO$120:$AO$124,BH$3))*-AT27,"")</f>
        <v/>
      </c>
      <c r="BI27" s="29" t="str">
        <f>IF((SUMIFS(Effektmåling!$J$163:$J$167,Effektmåling!$D$163:$D$167,$B27,$AO$120:$AO$124,BI$3))&lt;&gt;0,(SUMIFS(Effektmåling!$J$163:$J$167,Effektmåling!$D$163:$D$167,$B27,$AO$120:$AO$124,BI$3))*-AU27,"")</f>
        <v/>
      </c>
      <c r="BJ27" s="29" t="str">
        <f>IF((SUMIFS(Effektmåling!$J$163:$J$167,Effektmåling!$D$163:$D$167,$B27,$AO$120:$AO$124,BJ$3))&lt;&gt;0,(SUMIFS(Effektmåling!$J$163:$J$167,Effektmåling!$D$163:$D$167,$B27,$AO$120:$AO$124,BJ$3))*-AV27,"")</f>
        <v/>
      </c>
      <c r="BK27" s="29" t="str">
        <f>IF((SUMIFS(Effektmåling!$J$163:$J$167,Effektmåling!$D$163:$D$167,$B27,$AO$120:$AO$124,BK$3))&lt;&gt;0,(SUMIFS(Effektmåling!$J$163:$J$167,Effektmåling!$D$163:$D$167,$B27,$AO$120:$AO$124,BK$3))*-AW27,"")</f>
        <v/>
      </c>
      <c r="BL27" s="29" t="str">
        <f>IF((SUMIFS(Effektmåling!$J$163:$J$167,Effektmåling!$D$163:$D$167,$B27,$AO$120:$AO$124,BL$3))&lt;&gt;0,(SUMIFS(Effektmåling!$J$163:$J$167,Effektmåling!$D$163:$D$167,$B27,$AO$120:$AO$124,BL$3))*-AX27,"")</f>
        <v/>
      </c>
      <c r="BM27" s="29" t="str">
        <f>IF((SUMIFS(Effektmåling!$J$163:$J$167,Effektmåling!$D$163:$D$167,$B27,$AO$120:$AO$124,BM$3))&lt;&gt;0,(SUMIFS(Effektmåling!$J$163:$J$167,Effektmåling!$D$163:$D$167,$B27,$AO$120:$AO$124,BM$3))*-AY27,"")</f>
        <v/>
      </c>
      <c r="BO27" s="211">
        <f t="shared" ca="1" si="24"/>
        <v>100000</v>
      </c>
      <c r="BP27" s="207" t="str">
        <f t="shared" si="4"/>
        <v>PP</v>
      </c>
      <c r="BQ27" s="29">
        <f t="shared" ca="1" si="25"/>
        <v>0</v>
      </c>
      <c r="BR27" s="29">
        <f t="shared" ca="1" si="14"/>
        <v>100000</v>
      </c>
      <c r="BS27" s="29"/>
      <c r="BT27" s="29"/>
      <c r="BU27" s="29"/>
      <c r="BV27" s="29"/>
      <c r="BW27" s="212"/>
    </row>
    <row r="28" spans="1:75" x14ac:dyDescent="0.15">
      <c r="A28" s="19">
        <f t="shared" si="5"/>
        <v>24</v>
      </c>
      <c r="B28" s="19" t="s">
        <v>270</v>
      </c>
      <c r="C28" s="19">
        <v>1</v>
      </c>
      <c r="D28" s="22">
        <v>3.5205000000000002</v>
      </c>
      <c r="E28" s="22">
        <v>6.8900000000000003E-2</v>
      </c>
      <c r="F28" s="105">
        <v>3.46</v>
      </c>
      <c r="G28" s="106">
        <v>0.23719999999999999</v>
      </c>
      <c r="H28" s="119">
        <v>0</v>
      </c>
      <c r="I28" s="127">
        <v>0.19850421686746988</v>
      </c>
      <c r="J28" s="119">
        <v>0</v>
      </c>
      <c r="K28" s="74">
        <v>0</v>
      </c>
      <c r="L28" s="130">
        <v>0.34661042157265071</v>
      </c>
      <c r="M28" s="74">
        <v>0</v>
      </c>
      <c r="O28" s="142">
        <f t="shared" si="18"/>
        <v>3.3910999999999998</v>
      </c>
      <c r="P28" s="142">
        <f t="shared" si="19"/>
        <v>0.16830000000000001</v>
      </c>
      <c r="Q28" s="142">
        <f t="shared" si="20"/>
        <v>-6.8900000000000003E-2</v>
      </c>
      <c r="R28" s="142">
        <f t="shared" si="21"/>
        <v>-3.2227999999999999</v>
      </c>
      <c r="S28" s="142">
        <f t="shared" si="22"/>
        <v>-3.46</v>
      </c>
      <c r="T28" s="142">
        <f t="shared" si="23"/>
        <v>-0.23719999999999999</v>
      </c>
      <c r="V28" s="29">
        <f ca="1">SUMIF(Effektmåling!$D$53:$E$57,'DB materialer'!B28,Effektmåling!$H$53:$H$57)</f>
        <v>0</v>
      </c>
      <c r="W28" s="477" t="str">
        <f ca="1">IF((V28*D28)=0,"",IF(Effektmåling!$Q$241="Ja",1.3*(V28*D28),V28*D28))</f>
        <v/>
      </c>
      <c r="X28" s="29" t="str">
        <f ca="1">IF(W28="","",RANK(W28,$W$7:$W$56,0)+COUNTIF($W$7:W28,W28)-1)</f>
        <v/>
      </c>
      <c r="Y28" s="29" t="str">
        <f t="shared" ca="1" si="36"/>
        <v/>
      </c>
      <c r="AA28" s="29">
        <f ca="1">$C$122*SUMIF(Effektmåling!$D$128:$E$132,'DB materialer'!$B28,Effektmåling!$I$128:$I$132)</f>
        <v>0</v>
      </c>
      <c r="AB28" s="477" t="str">
        <f ca="1">IF((AA28*D28)=0,"",IF(Effektmåling!$Q$241&lt;&gt;"Ja",1.3*(AA28*D28),AA28*D28))</f>
        <v/>
      </c>
      <c r="AC28" s="29" t="str">
        <f ca="1">IF(AB28="","",RANK(AB28,$AB$7:$AB$56,0)+COUNTIF($AB$7:AB28,AB28)-1)</f>
        <v/>
      </c>
      <c r="AD28" s="29" t="str">
        <f t="shared" ca="1" si="37"/>
        <v/>
      </c>
      <c r="AE28" s="29"/>
      <c r="AF28" s="29" t="str">
        <f>IF((SUMIFS(Effektmåling!$J$178:$J$182,Effektmåling!$D$178:$D$182,$B28,$AH$120:$AH$124,'DB materialer'!AF$3))&lt;&gt;0,(SUMIFS(Effektmåling!$J$178:$J$182,Effektmåling!$D$178:$D$182,$B28,$AH$120:$AH$124,'DB materialer'!AF$3))*-O28,"")</f>
        <v/>
      </c>
      <c r="AG28" s="29" t="str">
        <f>IF((SUMIFS(Effektmåling!$J$178:$J$182,Effektmåling!$D$178:$D$182,$B28,$AH$120:$AH$124,'DB materialer'!AG$3))&lt;&gt;0,(SUMIFS(Effektmåling!$J$178:$J$182,Effektmåling!$D$178:$D$182,$B28,$AH$120:$AH$124,'DB materialer'!AG$3))*-P28,"")</f>
        <v/>
      </c>
      <c r="AH28" s="29" t="str">
        <f>IF((SUMIFS(Effektmåling!$J$178:$J$182,Effektmåling!$D$178:$D$182,$B28,$AH$120:$AH$124,'DB materialer'!AH$3))&lt;&gt;0,(SUMIFS(Effektmåling!$J$178:$J$182,Effektmåling!$D$178:$D$182,$B28,$AH$120:$AH$124,'DB materialer'!AH$3))*-Q28,"")</f>
        <v/>
      </c>
      <c r="AI28" s="29" t="str">
        <f>IF((SUMIFS(Effektmåling!$J$178:$J$182,Effektmåling!$D$178:$D$182,$B28,$AH$120:$AH$124,'DB materialer'!AI$3))&lt;&gt;0,(SUMIFS(Effektmåling!$J$178:$J$182,Effektmåling!$D$178:$D$182,$B28,$AH$120:$AH$124,'DB materialer'!AI$3))*-R28,"")</f>
        <v/>
      </c>
      <c r="AJ28" s="29" t="str">
        <f>IF((SUMIFS(Effektmåling!$J$178:$J$182,Effektmåling!$D$178:$D$182,$B28,$AH$120:$AH$124,'DB materialer'!AJ$3))&lt;&gt;0,(SUMIFS(Effektmåling!$J$178:$J$182,Effektmåling!$D$178:$D$182,$B28,$AH$120:$AH$124,'DB materialer'!AJ$3))*-S28,"")</f>
        <v/>
      </c>
      <c r="AK28" s="29" t="str">
        <f>IF((SUMIFS(Effektmåling!$J$178:$J$182,Effektmåling!$D$178:$D$182,$B28,$AH$120:$AH$124,'DB materialer'!AK$3))&lt;&gt;0,(SUMIFS(Effektmåling!$J$178:$J$182,Effektmåling!$D$178:$D$182,$B28,$AH$120:$AH$124,'DB materialer'!AK$3))*-T28,"")</f>
        <v/>
      </c>
      <c r="AM28" s="29" t="str">
        <f>IF((SUMIFS(Effektmåling!$J$163:$J$167,Effektmåling!$D$163:$D$167,$B28,$AO$120:$AO$124,'DB materialer'!AM$3))&lt;&gt;0,(SUMIFS(Effektmåling!$J$163:$J$167,Effektmåling!$D$163:$D$167,$B28,$AO$120:$AO$124,'DB materialer'!AM$3))*(-O28)*($C$122),"")</f>
        <v/>
      </c>
      <c r="AN28" s="29" t="str">
        <f>IF((SUMIFS(Effektmåling!$J$163:$J$167,Effektmåling!$D$163:$D$167,$B28,$AO$120:$AO$124,'DB materialer'!AN$3))&lt;&gt;0,(SUMIFS(Effektmåling!$J$163:$J$167,Effektmåling!$D$163:$D$167,$B28,$AO$120:$AO$124,'DB materialer'!AN$3))*(-P28)*($C$122),"")</f>
        <v/>
      </c>
      <c r="AO28" s="29" t="str">
        <f>IF((SUMIFS(Effektmåling!$J$163:$J$167,Effektmåling!$D$163:$D$167,$B28,$AO$120:$AO$124,'DB materialer'!AO$3))&lt;&gt;0,(SUMIFS(Effektmåling!$J$163:$J$167,Effektmåling!$D$163:$D$167,$B28,$AO$120:$AO$124,'DB materialer'!AO$3))*(-Q28)*($C$122),"")</f>
        <v/>
      </c>
      <c r="AP28" s="29" t="str">
        <f>IF((SUMIFS(Effektmåling!$J$163:$J$167,Effektmåling!$D$163:$D$167,$B28,$AO$120:$AO$124,'DB materialer'!AP$3))&lt;&gt;0,(SUMIFS(Effektmåling!$J$163:$J$167,Effektmåling!$D$163:$D$167,$B28,$AO$120:$AO$124,'DB materialer'!AP$3))*(-R28)*($C$122),"")</f>
        <v/>
      </c>
      <c r="AQ28" s="29" t="str">
        <f>IF((SUMIFS(Effektmåling!$J$163:$J$167,Effektmåling!$D$163:$D$167,$B28,$AO$120:$AO$124,'DB materialer'!AQ$3))&lt;&gt;0,(SUMIFS(Effektmåling!$J$163:$J$167,Effektmåling!$D$163:$D$167,$B28,$AO$120:$AO$124,'DB materialer'!AQ$3))*(-S28)*($C$122),"")</f>
        <v/>
      </c>
      <c r="AR28" s="29" t="str">
        <f>IF((SUMIFS(Effektmåling!$J$163:$J$167,Effektmåling!$D$163:$D$167,$B28,$AO$120:$AO$124,'DB materialer'!AR$3))&lt;&gt;0,(SUMIFS(Effektmåling!$J$163:$J$167,Effektmåling!$D$163:$D$167,$B28,$AO$120:$AO$124,'DB materialer'!AR$3))*(-T28)*($C$122),"")</f>
        <v/>
      </c>
      <c r="AT28" s="30">
        <f t="shared" si="38"/>
        <v>1.0000000000000001E-30</v>
      </c>
      <c r="AU28" s="40">
        <f t="shared" si="39"/>
        <v>0.34661042157265071</v>
      </c>
      <c r="AV28" s="41">
        <f t="shared" si="40"/>
        <v>1.0000000000000001E-30</v>
      </c>
      <c r="AW28" s="40">
        <f t="shared" si="41"/>
        <v>0.34661042157265071</v>
      </c>
      <c r="AX28" s="41">
        <f t="shared" si="42"/>
        <v>1.0000000000000001E-30</v>
      </c>
      <c r="AY28" s="41">
        <f t="shared" si="43"/>
        <v>-0.34661042157265071</v>
      </c>
      <c r="BA28" s="29" t="str">
        <f>IF((SUMIFS(Effektmåling!$J$178:$J$182,Effektmåling!$D$178:$D$182,$B28,$AH$120:$AH$124,BA$3))&lt;&gt;0,(SUMIFS(Effektmåling!$J$178:$J$182,Effektmåling!$D$178:$D$182,$B28,$AH$120:$AH$124,BA$3))*-AT28,"")</f>
        <v/>
      </c>
      <c r="BB28" s="29" t="str">
        <f>IF((SUMIFS(Effektmåling!$J$178:$J$182,Effektmåling!$D$178:$D$182,$B28,$AH$120:$AH$124,BB$3))&lt;&gt;0,(SUMIFS(Effektmåling!$J$178:$J$182,Effektmåling!$D$178:$D$182,$B28,$AH$120:$AH$124,BB$3))*-AU28,"")</f>
        <v/>
      </c>
      <c r="BC28" s="29" t="str">
        <f>IF((SUMIFS(Effektmåling!$J$178:$J$182,Effektmåling!$D$178:$D$182,$B28,$AH$120:$AH$124,BC$3))&lt;&gt;0,(SUMIFS(Effektmåling!$J$178:$J$182,Effektmåling!$D$178:$D$182,$B28,$AH$120:$AH$124,BC$3))*-AV28,"")</f>
        <v/>
      </c>
      <c r="BD28" s="29" t="str">
        <f>IF((SUMIFS(Effektmåling!$J$178:$J$182,Effektmåling!$D$178:$D$182,$B28,$AH$120:$AH$124,BD$3))&lt;&gt;0,(SUMIFS(Effektmåling!$J$178:$J$182,Effektmåling!$D$178:$D$182,$B28,$AH$120:$AH$124,BD$3))*-AW28,"")</f>
        <v/>
      </c>
      <c r="BE28" s="29" t="str">
        <f>IF((SUMIFS(Effektmåling!$J$178:$J$182,Effektmåling!$D$178:$D$182,$B28,$AH$120:$AH$124,BE$3))&lt;&gt;0,(SUMIFS(Effektmåling!$J$178:$J$182,Effektmåling!$D$178:$D$182,$B28,$AH$120:$AH$124,BE$3))*-AX28,"")</f>
        <v/>
      </c>
      <c r="BF28" s="29" t="str">
        <f>IF((SUMIFS(Effektmåling!$J$178:$J$182,Effektmåling!$D$178:$D$182,$B28,$AH$120:$AH$124,BF$3))&lt;&gt;0,(SUMIFS(Effektmåling!$J$178:$J$182,Effektmåling!$D$178:$D$182,$B28,$AH$120:$AH$124,BF$3))*-AY28,"")</f>
        <v/>
      </c>
      <c r="BH28" s="29" t="str">
        <f>IF((SUMIFS(Effektmåling!$J$163:$J$167,Effektmåling!$D$163:$D$167,$B28,$AO$120:$AO$124,BH$3))&lt;&gt;0,(SUMIFS(Effektmåling!$J$163:$J$167,Effektmåling!$D$163:$D$167,$B28,$AO$120:$AO$124,BH$3))*-AT28,"")</f>
        <v/>
      </c>
      <c r="BI28" s="29" t="str">
        <f>IF((SUMIFS(Effektmåling!$J$163:$J$167,Effektmåling!$D$163:$D$167,$B28,$AO$120:$AO$124,BI$3))&lt;&gt;0,(SUMIFS(Effektmåling!$J$163:$J$167,Effektmåling!$D$163:$D$167,$B28,$AO$120:$AO$124,BI$3))*-AU28,"")</f>
        <v/>
      </c>
      <c r="BJ28" s="29" t="str">
        <f>IF((SUMIFS(Effektmåling!$J$163:$J$167,Effektmåling!$D$163:$D$167,$B28,$AO$120:$AO$124,BJ$3))&lt;&gt;0,(SUMIFS(Effektmåling!$J$163:$J$167,Effektmåling!$D$163:$D$167,$B28,$AO$120:$AO$124,BJ$3))*-AV28,"")</f>
        <v/>
      </c>
      <c r="BK28" s="29" t="str">
        <f>IF((SUMIFS(Effektmåling!$J$163:$J$167,Effektmåling!$D$163:$D$167,$B28,$AO$120:$AO$124,BK$3))&lt;&gt;0,(SUMIFS(Effektmåling!$J$163:$J$167,Effektmåling!$D$163:$D$167,$B28,$AO$120:$AO$124,BK$3))*-AW28,"")</f>
        <v/>
      </c>
      <c r="BL28" s="29" t="str">
        <f>IF((SUMIFS(Effektmåling!$J$163:$J$167,Effektmåling!$D$163:$D$167,$B28,$AO$120:$AO$124,BL$3))&lt;&gt;0,(SUMIFS(Effektmåling!$J$163:$J$167,Effektmåling!$D$163:$D$167,$B28,$AO$120:$AO$124,BL$3))*-AX28,"")</f>
        <v/>
      </c>
      <c r="BM28" s="29" t="str">
        <f>IF((SUMIFS(Effektmåling!$J$163:$J$167,Effektmåling!$D$163:$D$167,$B28,$AO$120:$AO$124,BM$3))&lt;&gt;0,(SUMIFS(Effektmåling!$J$163:$J$167,Effektmåling!$D$163:$D$167,$B28,$AO$120:$AO$124,BM$3))*-AY28,"")</f>
        <v/>
      </c>
      <c r="BO28" s="211">
        <f t="shared" ca="1" si="24"/>
        <v>100000</v>
      </c>
      <c r="BP28" s="207" t="str">
        <f t="shared" si="4"/>
        <v>PS</v>
      </c>
      <c r="BQ28" s="29">
        <f t="shared" ca="1" si="25"/>
        <v>0</v>
      </c>
      <c r="BR28" s="29">
        <f t="shared" ca="1" si="14"/>
        <v>100000</v>
      </c>
      <c r="BS28" s="29"/>
      <c r="BT28" s="29"/>
      <c r="BU28" s="29"/>
      <c r="BV28" s="29"/>
      <c r="BW28" s="212"/>
    </row>
    <row r="29" spans="1:75" x14ac:dyDescent="0.15">
      <c r="A29" s="19">
        <f t="shared" si="5"/>
        <v>25</v>
      </c>
      <c r="B29" s="19" t="s">
        <v>271</v>
      </c>
      <c r="C29" s="19">
        <v>1</v>
      </c>
      <c r="D29" s="22">
        <v>2.7381000000000002</v>
      </c>
      <c r="E29" s="22">
        <v>6.8900000000000003E-2</v>
      </c>
      <c r="F29" s="105">
        <v>2.96</v>
      </c>
      <c r="G29" s="22">
        <v>0</v>
      </c>
      <c r="H29" s="119">
        <v>0</v>
      </c>
      <c r="I29" s="127">
        <v>0.19850421686746988</v>
      </c>
      <c r="J29" s="119">
        <v>0</v>
      </c>
      <c r="K29" s="74">
        <v>0</v>
      </c>
      <c r="L29" s="32">
        <v>0</v>
      </c>
      <c r="M29" s="74">
        <v>0</v>
      </c>
      <c r="O29" s="142">
        <f t="shared" si="18"/>
        <v>2.8910999999999998</v>
      </c>
      <c r="P29" s="142">
        <f t="shared" si="19"/>
        <v>-6.8900000000000003E-2</v>
      </c>
      <c r="Q29" s="142">
        <f t="shared" si="20"/>
        <v>-6.8900000000000003E-2</v>
      </c>
      <c r="R29" s="142">
        <f t="shared" si="21"/>
        <v>-2.96</v>
      </c>
      <c r="S29" s="142">
        <f t="shared" si="22"/>
        <v>-2.96</v>
      </c>
      <c r="T29" s="142">
        <f t="shared" si="23"/>
        <v>0</v>
      </c>
      <c r="V29" s="29">
        <f ca="1">SUMIF(Effektmåling!$D$53:$E$57,'DB materialer'!B29,Effektmåling!$H$53:$H$57)</f>
        <v>0</v>
      </c>
      <c r="W29" s="477" t="str">
        <f ca="1">IF((V29*D29)=0,"",IF(Effektmåling!$Q$241="Ja",1.3*(V29*D29),V29*D29))</f>
        <v/>
      </c>
      <c r="X29" s="29" t="str">
        <f ca="1">IF(W29="","",RANK(W29,$W$7:$W$56,0)+COUNTIF($W$7:W29,W29)-1)</f>
        <v/>
      </c>
      <c r="Y29" s="29" t="str">
        <f t="shared" ca="1" si="36"/>
        <v/>
      </c>
      <c r="AA29" s="29">
        <f ca="1">$C$122*SUMIF(Effektmåling!$D$128:$E$132,'DB materialer'!$B29,Effektmåling!$I$128:$I$132)</f>
        <v>0</v>
      </c>
      <c r="AB29" s="477" t="str">
        <f ca="1">IF((AA29*D29)=0,"",IF(Effektmåling!$Q$241&lt;&gt;"Ja",1.3*(AA29*D29),AA29*D29))</f>
        <v/>
      </c>
      <c r="AC29" s="29" t="str">
        <f ca="1">IF(AB29="","",RANK(AB29,$AB$7:$AB$56,0)+COUNTIF($AB$7:AB29,AB29)-1)</f>
        <v/>
      </c>
      <c r="AD29" s="29" t="str">
        <f t="shared" ca="1" si="37"/>
        <v/>
      </c>
      <c r="AE29" s="29"/>
      <c r="AF29" s="29" t="str">
        <f>IF((SUMIFS(Effektmåling!$J$178:$J$182,Effektmåling!$D$178:$D$182,$B29,$AH$120:$AH$124,'DB materialer'!AF$3))&lt;&gt;0,(SUMIFS(Effektmåling!$J$178:$J$182,Effektmåling!$D$178:$D$182,$B29,$AH$120:$AH$124,'DB materialer'!AF$3))*-O29,"")</f>
        <v/>
      </c>
      <c r="AG29" s="29" t="str">
        <f>IF((SUMIFS(Effektmåling!$J$178:$J$182,Effektmåling!$D$178:$D$182,$B29,$AH$120:$AH$124,'DB materialer'!AG$3))&lt;&gt;0,(SUMIFS(Effektmåling!$J$178:$J$182,Effektmåling!$D$178:$D$182,$B29,$AH$120:$AH$124,'DB materialer'!AG$3))*-P29,"")</f>
        <v/>
      </c>
      <c r="AH29" s="29" t="str">
        <f>IF((SUMIFS(Effektmåling!$J$178:$J$182,Effektmåling!$D$178:$D$182,$B29,$AH$120:$AH$124,'DB materialer'!AH$3))&lt;&gt;0,(SUMIFS(Effektmåling!$J$178:$J$182,Effektmåling!$D$178:$D$182,$B29,$AH$120:$AH$124,'DB materialer'!AH$3))*-Q29,"")</f>
        <v/>
      </c>
      <c r="AI29" s="29" t="str">
        <f>IF((SUMIFS(Effektmåling!$J$178:$J$182,Effektmåling!$D$178:$D$182,$B29,$AH$120:$AH$124,'DB materialer'!AI$3))&lt;&gt;0,(SUMIFS(Effektmåling!$J$178:$J$182,Effektmåling!$D$178:$D$182,$B29,$AH$120:$AH$124,'DB materialer'!AI$3))*-R29,"")</f>
        <v/>
      </c>
      <c r="AJ29" s="29" t="str">
        <f>IF((SUMIFS(Effektmåling!$J$178:$J$182,Effektmåling!$D$178:$D$182,$B29,$AH$120:$AH$124,'DB materialer'!AJ$3))&lt;&gt;0,(SUMIFS(Effektmåling!$J$178:$J$182,Effektmåling!$D$178:$D$182,$B29,$AH$120:$AH$124,'DB materialer'!AJ$3))*-S29,"")</f>
        <v/>
      </c>
      <c r="AK29" s="29" t="str">
        <f>IF((SUMIFS(Effektmåling!$J$178:$J$182,Effektmåling!$D$178:$D$182,$B29,$AH$120:$AH$124,'DB materialer'!AK$3))&lt;&gt;0,(SUMIFS(Effektmåling!$J$178:$J$182,Effektmåling!$D$178:$D$182,$B29,$AH$120:$AH$124,'DB materialer'!AK$3))*-T29,"")</f>
        <v/>
      </c>
      <c r="AM29" s="29" t="str">
        <f>IF((SUMIFS(Effektmåling!$J$163:$J$167,Effektmåling!$D$163:$D$167,$B29,$AO$120:$AO$124,'DB materialer'!AM$3))&lt;&gt;0,(SUMIFS(Effektmåling!$J$163:$J$167,Effektmåling!$D$163:$D$167,$B29,$AO$120:$AO$124,'DB materialer'!AM$3))*(-O29)*($C$122),"")</f>
        <v/>
      </c>
      <c r="AN29" s="29" t="str">
        <f>IF((SUMIFS(Effektmåling!$J$163:$J$167,Effektmåling!$D$163:$D$167,$B29,$AO$120:$AO$124,'DB materialer'!AN$3))&lt;&gt;0,(SUMIFS(Effektmåling!$J$163:$J$167,Effektmåling!$D$163:$D$167,$B29,$AO$120:$AO$124,'DB materialer'!AN$3))*(-P29)*($C$122),"")</f>
        <v/>
      </c>
      <c r="AO29" s="29" t="str">
        <f>IF((SUMIFS(Effektmåling!$J$163:$J$167,Effektmåling!$D$163:$D$167,$B29,$AO$120:$AO$124,'DB materialer'!AO$3))&lt;&gt;0,(SUMIFS(Effektmåling!$J$163:$J$167,Effektmåling!$D$163:$D$167,$B29,$AO$120:$AO$124,'DB materialer'!AO$3))*(-Q29)*($C$122),"")</f>
        <v/>
      </c>
      <c r="AP29" s="29" t="str">
        <f>IF((SUMIFS(Effektmåling!$J$163:$J$167,Effektmåling!$D$163:$D$167,$B29,$AO$120:$AO$124,'DB materialer'!AP$3))&lt;&gt;0,(SUMIFS(Effektmåling!$J$163:$J$167,Effektmåling!$D$163:$D$167,$B29,$AO$120:$AO$124,'DB materialer'!AP$3))*(-R29)*($C$122),"")</f>
        <v/>
      </c>
      <c r="AQ29" s="29" t="str">
        <f>IF((SUMIFS(Effektmåling!$J$163:$J$167,Effektmåling!$D$163:$D$167,$B29,$AO$120:$AO$124,'DB materialer'!AQ$3))&lt;&gt;0,(SUMIFS(Effektmåling!$J$163:$J$167,Effektmåling!$D$163:$D$167,$B29,$AO$120:$AO$124,'DB materialer'!AQ$3))*(-S29)*($C$122),"")</f>
        <v/>
      </c>
      <c r="AR29" s="29" t="str">
        <f>IF((SUMIFS(Effektmåling!$J$163:$J$167,Effektmåling!$D$163:$D$167,$B29,$AO$120:$AO$124,'DB materialer'!AR$3))&lt;&gt;0,(SUMIFS(Effektmåling!$J$163:$J$167,Effektmåling!$D$163:$D$167,$B29,$AO$120:$AO$124,'DB materialer'!AR$3))*(-T29)*($C$122),"")</f>
        <v/>
      </c>
      <c r="AT29" s="30">
        <f t="shared" si="38"/>
        <v>1.0000000000000001E-30</v>
      </c>
      <c r="AU29" s="40">
        <f t="shared" si="39"/>
        <v>1.0000000000000001E-30</v>
      </c>
      <c r="AV29" s="41">
        <f t="shared" si="40"/>
        <v>1.0000000000000001E-30</v>
      </c>
      <c r="AW29" s="40">
        <f t="shared" si="41"/>
        <v>1.0000000000000001E-30</v>
      </c>
      <c r="AX29" s="41">
        <f t="shared" si="42"/>
        <v>1.0000000000000001E-30</v>
      </c>
      <c r="AY29" s="41">
        <f t="shared" si="43"/>
        <v>1.0000000000000001E-30</v>
      </c>
      <c r="BA29" s="29" t="str">
        <f>IF((SUMIFS(Effektmåling!$J$178:$J$182,Effektmåling!$D$178:$D$182,$B29,$AH$120:$AH$124,BA$3))&lt;&gt;0,(SUMIFS(Effektmåling!$J$178:$J$182,Effektmåling!$D$178:$D$182,$B29,$AH$120:$AH$124,BA$3))*-AT29,"")</f>
        <v/>
      </c>
      <c r="BB29" s="29" t="str">
        <f>IF((SUMIFS(Effektmåling!$J$178:$J$182,Effektmåling!$D$178:$D$182,$B29,$AH$120:$AH$124,BB$3))&lt;&gt;0,(SUMIFS(Effektmåling!$J$178:$J$182,Effektmåling!$D$178:$D$182,$B29,$AH$120:$AH$124,BB$3))*-AU29,"")</f>
        <v/>
      </c>
      <c r="BC29" s="29" t="str">
        <f>IF((SUMIFS(Effektmåling!$J$178:$J$182,Effektmåling!$D$178:$D$182,$B29,$AH$120:$AH$124,BC$3))&lt;&gt;0,(SUMIFS(Effektmåling!$J$178:$J$182,Effektmåling!$D$178:$D$182,$B29,$AH$120:$AH$124,BC$3))*-AV29,"")</f>
        <v/>
      </c>
      <c r="BD29" s="29" t="str">
        <f>IF((SUMIFS(Effektmåling!$J$178:$J$182,Effektmåling!$D$178:$D$182,$B29,$AH$120:$AH$124,BD$3))&lt;&gt;0,(SUMIFS(Effektmåling!$J$178:$J$182,Effektmåling!$D$178:$D$182,$B29,$AH$120:$AH$124,BD$3))*-AW29,"")</f>
        <v/>
      </c>
      <c r="BE29" s="29" t="str">
        <f>IF((SUMIFS(Effektmåling!$J$178:$J$182,Effektmåling!$D$178:$D$182,$B29,$AH$120:$AH$124,BE$3))&lt;&gt;0,(SUMIFS(Effektmåling!$J$178:$J$182,Effektmåling!$D$178:$D$182,$B29,$AH$120:$AH$124,BE$3))*-AX29,"")</f>
        <v/>
      </c>
      <c r="BF29" s="29" t="str">
        <f>IF((SUMIFS(Effektmåling!$J$178:$J$182,Effektmåling!$D$178:$D$182,$B29,$AH$120:$AH$124,BF$3))&lt;&gt;0,(SUMIFS(Effektmåling!$J$178:$J$182,Effektmåling!$D$178:$D$182,$B29,$AH$120:$AH$124,BF$3))*-AY29,"")</f>
        <v/>
      </c>
      <c r="BH29" s="29" t="str">
        <f>IF((SUMIFS(Effektmåling!$J$163:$J$167,Effektmåling!$D$163:$D$167,$B29,$AO$120:$AO$124,BH$3))&lt;&gt;0,(SUMIFS(Effektmåling!$J$163:$J$167,Effektmåling!$D$163:$D$167,$B29,$AO$120:$AO$124,BH$3))*-AT29,"")</f>
        <v/>
      </c>
      <c r="BI29" s="29" t="str">
        <f>IF((SUMIFS(Effektmåling!$J$163:$J$167,Effektmåling!$D$163:$D$167,$B29,$AO$120:$AO$124,BI$3))&lt;&gt;0,(SUMIFS(Effektmåling!$J$163:$J$167,Effektmåling!$D$163:$D$167,$B29,$AO$120:$AO$124,BI$3))*-AU29,"")</f>
        <v/>
      </c>
      <c r="BJ29" s="29" t="str">
        <f>IF((SUMIFS(Effektmåling!$J$163:$J$167,Effektmåling!$D$163:$D$167,$B29,$AO$120:$AO$124,BJ$3))&lt;&gt;0,(SUMIFS(Effektmåling!$J$163:$J$167,Effektmåling!$D$163:$D$167,$B29,$AO$120:$AO$124,BJ$3))*-AV29,"")</f>
        <v/>
      </c>
      <c r="BK29" s="29" t="str">
        <f>IF((SUMIFS(Effektmåling!$J$163:$J$167,Effektmåling!$D$163:$D$167,$B29,$AO$120:$AO$124,BK$3))&lt;&gt;0,(SUMIFS(Effektmåling!$J$163:$J$167,Effektmåling!$D$163:$D$167,$B29,$AO$120:$AO$124,BK$3))*-AW29,"")</f>
        <v/>
      </c>
      <c r="BL29" s="29" t="str">
        <f>IF((SUMIFS(Effektmåling!$J$163:$J$167,Effektmåling!$D$163:$D$167,$B29,$AO$120:$AO$124,BL$3))&lt;&gt;0,(SUMIFS(Effektmåling!$J$163:$J$167,Effektmåling!$D$163:$D$167,$B29,$AO$120:$AO$124,BL$3))*-AX29,"")</f>
        <v/>
      </c>
      <c r="BM29" s="29" t="str">
        <f>IF((SUMIFS(Effektmåling!$J$163:$J$167,Effektmåling!$D$163:$D$167,$B29,$AO$120:$AO$124,BM$3))&lt;&gt;0,(SUMIFS(Effektmåling!$J$163:$J$167,Effektmåling!$D$163:$D$167,$B29,$AO$120:$AO$124,BM$3))*-AY29,"")</f>
        <v/>
      </c>
      <c r="BO29" s="211">
        <f t="shared" ca="1" si="24"/>
        <v>100000</v>
      </c>
      <c r="BP29" s="207" t="str">
        <f t="shared" si="4"/>
        <v>PVC, blød</v>
      </c>
      <c r="BQ29" s="29">
        <f t="shared" ca="1" si="25"/>
        <v>0</v>
      </c>
      <c r="BR29" s="29">
        <f t="shared" ca="1" si="14"/>
        <v>100000</v>
      </c>
      <c r="BS29" s="29"/>
      <c r="BT29" s="29"/>
      <c r="BU29" s="29"/>
      <c r="BV29" s="29"/>
      <c r="BW29" s="212"/>
    </row>
    <row r="30" spans="1:75" x14ac:dyDescent="0.15">
      <c r="A30" s="19">
        <f t="shared" si="5"/>
        <v>26</v>
      </c>
      <c r="B30" s="19" t="s">
        <v>272</v>
      </c>
      <c r="C30" s="19">
        <v>1</v>
      </c>
      <c r="D30" s="22">
        <v>2.7381000000000002</v>
      </c>
      <c r="E30" s="22">
        <v>6.8900000000000003E-2</v>
      </c>
      <c r="F30" s="105">
        <v>2.96</v>
      </c>
      <c r="G30" s="106">
        <v>0.23719999999999999</v>
      </c>
      <c r="H30" s="119">
        <v>0</v>
      </c>
      <c r="I30" s="127">
        <v>0.19850421686746988</v>
      </c>
      <c r="J30" s="119">
        <v>0</v>
      </c>
      <c r="K30" s="74">
        <v>0</v>
      </c>
      <c r="L30" s="130">
        <v>0.34661042157265071</v>
      </c>
      <c r="M30" s="74">
        <v>0</v>
      </c>
      <c r="O30" s="142">
        <f t="shared" si="18"/>
        <v>2.8910999999999998</v>
      </c>
      <c r="P30" s="142">
        <f t="shared" si="19"/>
        <v>0.16830000000000001</v>
      </c>
      <c r="Q30" s="142">
        <f t="shared" si="20"/>
        <v>-6.8900000000000003E-2</v>
      </c>
      <c r="R30" s="142">
        <f t="shared" si="21"/>
        <v>-2.7227999999999999</v>
      </c>
      <c r="S30" s="142">
        <f t="shared" si="22"/>
        <v>-2.96</v>
      </c>
      <c r="T30" s="142">
        <f t="shared" si="23"/>
        <v>-0.23719999999999999</v>
      </c>
      <c r="V30" s="29">
        <f ca="1">SUMIF(Effektmåling!$D$53:$E$57,'DB materialer'!B30,Effektmåling!$H$53:$H$57)</f>
        <v>0</v>
      </c>
      <c r="W30" s="477" t="str">
        <f ca="1">IF((V30*D30)=0,"",IF(Effektmåling!$Q$241="Ja",1.3*(V30*D30),V30*D30))</f>
        <v/>
      </c>
      <c r="X30" s="29" t="str">
        <f ca="1">IF(W30="","",RANK(W30,$W$7:$W$56,0)+COUNTIF($W$7:W30,W30)-1)</f>
        <v/>
      </c>
      <c r="Y30" s="29" t="str">
        <f t="shared" ca="1" si="36"/>
        <v/>
      </c>
      <c r="AA30" s="29">
        <f ca="1">$C$122*SUMIF(Effektmåling!$D$128:$E$132,'DB materialer'!$B30,Effektmåling!$I$128:$I$132)</f>
        <v>0</v>
      </c>
      <c r="AB30" s="477" t="str">
        <f ca="1">IF((AA30*D30)=0,"",IF(Effektmåling!$Q$241&lt;&gt;"Ja",1.3*(AA30*D30),AA30*D30))</f>
        <v/>
      </c>
      <c r="AC30" s="29" t="str">
        <f ca="1">IF(AB30="","",RANK(AB30,$AB$7:$AB$56,0)+COUNTIF($AB$7:AB30,AB30)-1)</f>
        <v/>
      </c>
      <c r="AD30" s="29" t="str">
        <f t="shared" ca="1" si="37"/>
        <v/>
      </c>
      <c r="AE30" s="29"/>
      <c r="AF30" s="29" t="str">
        <f>IF((SUMIFS(Effektmåling!$J$178:$J$182,Effektmåling!$D$178:$D$182,$B30,$AH$120:$AH$124,'DB materialer'!AF$3))&lt;&gt;0,(SUMIFS(Effektmåling!$J$178:$J$182,Effektmåling!$D$178:$D$182,$B30,$AH$120:$AH$124,'DB materialer'!AF$3))*-O30,"")</f>
        <v/>
      </c>
      <c r="AG30" s="29" t="str">
        <f>IF((SUMIFS(Effektmåling!$J$178:$J$182,Effektmåling!$D$178:$D$182,$B30,$AH$120:$AH$124,'DB materialer'!AG$3))&lt;&gt;0,(SUMIFS(Effektmåling!$J$178:$J$182,Effektmåling!$D$178:$D$182,$B30,$AH$120:$AH$124,'DB materialer'!AG$3))*-P30,"")</f>
        <v/>
      </c>
      <c r="AH30" s="29" t="str">
        <f>IF((SUMIFS(Effektmåling!$J$178:$J$182,Effektmåling!$D$178:$D$182,$B30,$AH$120:$AH$124,'DB materialer'!AH$3))&lt;&gt;0,(SUMIFS(Effektmåling!$J$178:$J$182,Effektmåling!$D$178:$D$182,$B30,$AH$120:$AH$124,'DB materialer'!AH$3))*-Q30,"")</f>
        <v/>
      </c>
      <c r="AI30" s="29" t="str">
        <f>IF((SUMIFS(Effektmåling!$J$178:$J$182,Effektmåling!$D$178:$D$182,$B30,$AH$120:$AH$124,'DB materialer'!AI$3))&lt;&gt;0,(SUMIFS(Effektmåling!$J$178:$J$182,Effektmåling!$D$178:$D$182,$B30,$AH$120:$AH$124,'DB materialer'!AI$3))*-R30,"")</f>
        <v/>
      </c>
      <c r="AJ30" s="29" t="str">
        <f>IF((SUMIFS(Effektmåling!$J$178:$J$182,Effektmåling!$D$178:$D$182,$B30,$AH$120:$AH$124,'DB materialer'!AJ$3))&lt;&gt;0,(SUMIFS(Effektmåling!$J$178:$J$182,Effektmåling!$D$178:$D$182,$B30,$AH$120:$AH$124,'DB materialer'!AJ$3))*-S30,"")</f>
        <v/>
      </c>
      <c r="AK30" s="29" t="str">
        <f>IF((SUMIFS(Effektmåling!$J$178:$J$182,Effektmåling!$D$178:$D$182,$B30,$AH$120:$AH$124,'DB materialer'!AK$3))&lt;&gt;0,(SUMIFS(Effektmåling!$J$178:$J$182,Effektmåling!$D$178:$D$182,$B30,$AH$120:$AH$124,'DB materialer'!AK$3))*-T30,"")</f>
        <v/>
      </c>
      <c r="AM30" s="29" t="str">
        <f>IF((SUMIFS(Effektmåling!$J$163:$J$167,Effektmåling!$D$163:$D$167,$B30,$AO$120:$AO$124,'DB materialer'!AM$3))&lt;&gt;0,(SUMIFS(Effektmåling!$J$163:$J$167,Effektmåling!$D$163:$D$167,$B30,$AO$120:$AO$124,'DB materialer'!AM$3))*(-O30)*($C$122),"")</f>
        <v/>
      </c>
      <c r="AN30" s="29" t="str">
        <f>IF((SUMIFS(Effektmåling!$J$163:$J$167,Effektmåling!$D$163:$D$167,$B30,$AO$120:$AO$124,'DB materialer'!AN$3))&lt;&gt;0,(SUMIFS(Effektmåling!$J$163:$J$167,Effektmåling!$D$163:$D$167,$B30,$AO$120:$AO$124,'DB materialer'!AN$3))*(-P30)*($C$122),"")</f>
        <v/>
      </c>
      <c r="AO30" s="29" t="str">
        <f>IF((SUMIFS(Effektmåling!$J$163:$J$167,Effektmåling!$D$163:$D$167,$B30,$AO$120:$AO$124,'DB materialer'!AO$3))&lt;&gt;0,(SUMIFS(Effektmåling!$J$163:$J$167,Effektmåling!$D$163:$D$167,$B30,$AO$120:$AO$124,'DB materialer'!AO$3))*(-Q30)*($C$122),"")</f>
        <v/>
      </c>
      <c r="AP30" s="29" t="str">
        <f>IF((SUMIFS(Effektmåling!$J$163:$J$167,Effektmåling!$D$163:$D$167,$B30,$AO$120:$AO$124,'DB materialer'!AP$3))&lt;&gt;0,(SUMIFS(Effektmåling!$J$163:$J$167,Effektmåling!$D$163:$D$167,$B30,$AO$120:$AO$124,'DB materialer'!AP$3))*(-R30)*($C$122),"")</f>
        <v/>
      </c>
      <c r="AQ30" s="29" t="str">
        <f>IF((SUMIFS(Effektmåling!$J$163:$J$167,Effektmåling!$D$163:$D$167,$B30,$AO$120:$AO$124,'DB materialer'!AQ$3))&lt;&gt;0,(SUMIFS(Effektmåling!$J$163:$J$167,Effektmåling!$D$163:$D$167,$B30,$AO$120:$AO$124,'DB materialer'!AQ$3))*(-S30)*($C$122),"")</f>
        <v/>
      </c>
      <c r="AR30" s="29" t="str">
        <f>IF((SUMIFS(Effektmåling!$J$163:$J$167,Effektmåling!$D$163:$D$167,$B30,$AO$120:$AO$124,'DB materialer'!AR$3))&lt;&gt;0,(SUMIFS(Effektmåling!$J$163:$J$167,Effektmåling!$D$163:$D$167,$B30,$AO$120:$AO$124,'DB materialer'!AR$3))*(-T30)*($C$122),"")</f>
        <v/>
      </c>
      <c r="AT30" s="30">
        <f t="shared" si="38"/>
        <v>1.0000000000000001E-30</v>
      </c>
      <c r="AU30" s="40">
        <f t="shared" si="39"/>
        <v>0.34661042157265071</v>
      </c>
      <c r="AV30" s="41">
        <f t="shared" si="40"/>
        <v>1.0000000000000001E-30</v>
      </c>
      <c r="AW30" s="40">
        <f t="shared" si="41"/>
        <v>0.34661042157265071</v>
      </c>
      <c r="AX30" s="41">
        <f t="shared" si="42"/>
        <v>1.0000000000000001E-30</v>
      </c>
      <c r="AY30" s="41">
        <f t="shared" si="43"/>
        <v>-0.34661042157265071</v>
      </c>
      <c r="BA30" s="29" t="str">
        <f>IF((SUMIFS(Effektmåling!$J$178:$J$182,Effektmåling!$D$178:$D$182,$B30,$AH$120:$AH$124,BA$3))&lt;&gt;0,(SUMIFS(Effektmåling!$J$178:$J$182,Effektmåling!$D$178:$D$182,$B30,$AH$120:$AH$124,BA$3))*-AT30,"")</f>
        <v/>
      </c>
      <c r="BB30" s="29" t="str">
        <f>IF((SUMIFS(Effektmåling!$J$178:$J$182,Effektmåling!$D$178:$D$182,$B30,$AH$120:$AH$124,BB$3))&lt;&gt;0,(SUMIFS(Effektmåling!$J$178:$J$182,Effektmåling!$D$178:$D$182,$B30,$AH$120:$AH$124,BB$3))*-AU30,"")</f>
        <v/>
      </c>
      <c r="BC30" s="29" t="str">
        <f>IF((SUMIFS(Effektmåling!$J$178:$J$182,Effektmåling!$D$178:$D$182,$B30,$AH$120:$AH$124,BC$3))&lt;&gt;0,(SUMIFS(Effektmåling!$J$178:$J$182,Effektmåling!$D$178:$D$182,$B30,$AH$120:$AH$124,BC$3))*-AV30,"")</f>
        <v/>
      </c>
      <c r="BD30" s="29" t="str">
        <f>IF((SUMIFS(Effektmåling!$J$178:$J$182,Effektmåling!$D$178:$D$182,$B30,$AH$120:$AH$124,BD$3))&lt;&gt;0,(SUMIFS(Effektmåling!$J$178:$J$182,Effektmåling!$D$178:$D$182,$B30,$AH$120:$AH$124,BD$3))*-AW30,"")</f>
        <v/>
      </c>
      <c r="BE30" s="29" t="str">
        <f>IF((SUMIFS(Effektmåling!$J$178:$J$182,Effektmåling!$D$178:$D$182,$B30,$AH$120:$AH$124,BE$3))&lt;&gt;0,(SUMIFS(Effektmåling!$J$178:$J$182,Effektmåling!$D$178:$D$182,$B30,$AH$120:$AH$124,BE$3))*-AX30,"")</f>
        <v/>
      </c>
      <c r="BF30" s="29" t="str">
        <f>IF((SUMIFS(Effektmåling!$J$178:$J$182,Effektmåling!$D$178:$D$182,$B30,$AH$120:$AH$124,BF$3))&lt;&gt;0,(SUMIFS(Effektmåling!$J$178:$J$182,Effektmåling!$D$178:$D$182,$B30,$AH$120:$AH$124,BF$3))*-AY30,"")</f>
        <v/>
      </c>
      <c r="BH30" s="29" t="str">
        <f>IF((SUMIFS(Effektmåling!$J$163:$J$167,Effektmåling!$D$163:$D$167,$B30,$AO$120:$AO$124,BH$3))&lt;&gt;0,(SUMIFS(Effektmåling!$J$163:$J$167,Effektmåling!$D$163:$D$167,$B30,$AO$120:$AO$124,BH$3))*-AT30,"")</f>
        <v/>
      </c>
      <c r="BI30" s="29" t="str">
        <f>IF((SUMIFS(Effektmåling!$J$163:$J$167,Effektmåling!$D$163:$D$167,$B30,$AO$120:$AO$124,BI$3))&lt;&gt;0,(SUMIFS(Effektmåling!$J$163:$J$167,Effektmåling!$D$163:$D$167,$B30,$AO$120:$AO$124,BI$3))*-AU30,"")</f>
        <v/>
      </c>
      <c r="BJ30" s="29" t="str">
        <f>IF((SUMIFS(Effektmåling!$J$163:$J$167,Effektmåling!$D$163:$D$167,$B30,$AO$120:$AO$124,BJ$3))&lt;&gt;0,(SUMIFS(Effektmåling!$J$163:$J$167,Effektmåling!$D$163:$D$167,$B30,$AO$120:$AO$124,BJ$3))*-AV30,"")</f>
        <v/>
      </c>
      <c r="BK30" s="29" t="str">
        <f>IF((SUMIFS(Effektmåling!$J$163:$J$167,Effektmåling!$D$163:$D$167,$B30,$AO$120:$AO$124,BK$3))&lt;&gt;0,(SUMIFS(Effektmåling!$J$163:$J$167,Effektmåling!$D$163:$D$167,$B30,$AO$120:$AO$124,BK$3))*-AW30,"")</f>
        <v/>
      </c>
      <c r="BL30" s="29" t="str">
        <f>IF((SUMIFS(Effektmåling!$J$163:$J$167,Effektmåling!$D$163:$D$167,$B30,$AO$120:$AO$124,BL$3))&lt;&gt;0,(SUMIFS(Effektmåling!$J$163:$J$167,Effektmåling!$D$163:$D$167,$B30,$AO$120:$AO$124,BL$3))*-AX30,"")</f>
        <v/>
      </c>
      <c r="BM30" s="29" t="str">
        <f>IF((SUMIFS(Effektmåling!$J$163:$J$167,Effektmåling!$D$163:$D$167,$B30,$AO$120:$AO$124,BM$3))&lt;&gt;0,(SUMIFS(Effektmåling!$J$163:$J$167,Effektmåling!$D$163:$D$167,$B30,$AO$120:$AO$124,BM$3))*-AY30,"")</f>
        <v/>
      </c>
      <c r="BO30" s="211">
        <f t="shared" ca="1" si="24"/>
        <v>100000</v>
      </c>
      <c r="BP30" s="207" t="str">
        <f t="shared" si="4"/>
        <v>PVC, hård</v>
      </c>
      <c r="BQ30" s="29">
        <f t="shared" ca="1" si="25"/>
        <v>0</v>
      </c>
      <c r="BR30" s="29">
        <f t="shared" ca="1" si="14"/>
        <v>100000</v>
      </c>
      <c r="BS30" s="29"/>
      <c r="BT30" s="29"/>
      <c r="BU30" s="29"/>
      <c r="BV30" s="29"/>
      <c r="BW30" s="212"/>
    </row>
    <row r="31" spans="1:75" ht="31.5" x14ac:dyDescent="0.15">
      <c r="A31" s="19">
        <f t="shared" si="5"/>
        <v>27</v>
      </c>
      <c r="B31" s="19" t="s">
        <v>273</v>
      </c>
      <c r="C31" s="18" t="s">
        <v>245</v>
      </c>
      <c r="D31" s="18" t="s">
        <v>245</v>
      </c>
      <c r="E31" s="18" t="s">
        <v>245</v>
      </c>
      <c r="F31" s="18" t="s">
        <v>245</v>
      </c>
      <c r="G31" s="18" t="s">
        <v>245</v>
      </c>
      <c r="H31" s="18" t="s">
        <v>245</v>
      </c>
      <c r="I31" s="169" t="s">
        <v>245</v>
      </c>
      <c r="J31" s="18" t="s">
        <v>245</v>
      </c>
      <c r="K31" s="18" t="s">
        <v>245</v>
      </c>
      <c r="L31" s="18" t="s">
        <v>245</v>
      </c>
      <c r="M31" s="18" t="s">
        <v>245</v>
      </c>
      <c r="O31" s="168"/>
      <c r="P31" s="168"/>
      <c r="Q31" s="168"/>
      <c r="R31" s="168"/>
      <c r="S31" s="168"/>
      <c r="T31" s="168"/>
      <c r="V31" s="43"/>
      <c r="W31" s="477"/>
      <c r="X31" s="45"/>
      <c r="Y31" s="45"/>
      <c r="AA31" s="45"/>
      <c r="AB31" s="47"/>
      <c r="AC31" s="45"/>
      <c r="AD31" s="44"/>
      <c r="AE31" s="44"/>
      <c r="AF31" s="45"/>
      <c r="AG31" s="45"/>
      <c r="AH31" s="45"/>
      <c r="AI31" s="45"/>
      <c r="AJ31" s="45"/>
      <c r="AK31" s="45"/>
      <c r="AM31" s="45"/>
      <c r="AN31" s="45"/>
      <c r="AO31" s="45"/>
      <c r="AP31" s="45"/>
      <c r="AQ31" s="45"/>
      <c r="AR31" s="45"/>
      <c r="AT31" s="47"/>
      <c r="AU31" s="149"/>
      <c r="AV31" s="51"/>
      <c r="AW31" s="149"/>
      <c r="AX31" s="51"/>
      <c r="AY31" s="51"/>
      <c r="BA31" s="45"/>
      <c r="BB31" s="45"/>
      <c r="BC31" s="45"/>
      <c r="BD31" s="45"/>
      <c r="BE31" s="45"/>
      <c r="BF31" s="45"/>
      <c r="BH31" s="45"/>
      <c r="BI31" s="45"/>
      <c r="BJ31" s="45"/>
      <c r="BK31" s="45"/>
      <c r="BL31" s="45"/>
      <c r="BM31" s="45"/>
      <c r="BO31" s="211">
        <f t="shared" si="24"/>
        <v>100000</v>
      </c>
      <c r="BP31" s="207" t="str">
        <f t="shared" si="4"/>
        <v>-ANDET MATERIALE-</v>
      </c>
      <c r="BQ31" s="29">
        <f t="shared" si="25"/>
        <v>0</v>
      </c>
      <c r="BR31" s="29">
        <f t="shared" si="14"/>
        <v>100000</v>
      </c>
      <c r="BS31" s="29"/>
      <c r="BT31" s="29"/>
      <c r="BU31" s="29"/>
      <c r="BV31" s="44"/>
      <c r="BW31" s="212"/>
    </row>
    <row r="32" spans="1:75" x14ac:dyDescent="0.15">
      <c r="A32" s="19">
        <f t="shared" si="5"/>
        <v>28</v>
      </c>
      <c r="B32" s="19" t="s">
        <v>274</v>
      </c>
      <c r="C32" s="19">
        <v>1</v>
      </c>
      <c r="D32" s="22">
        <v>0.79749999999999999</v>
      </c>
      <c r="E32" s="22">
        <v>0.02</v>
      </c>
      <c r="F32" s="22">
        <v>6.2E-2</v>
      </c>
      <c r="G32" s="22">
        <v>5.0000000000000001E-4</v>
      </c>
      <c r="H32" s="119">
        <v>0</v>
      </c>
      <c r="I32" s="74">
        <v>0</v>
      </c>
      <c r="J32" s="119">
        <v>0</v>
      </c>
      <c r="K32" s="74">
        <v>0</v>
      </c>
      <c r="L32" s="130">
        <v>7.3062905053256902E-4</v>
      </c>
      <c r="M32" s="74">
        <v>0</v>
      </c>
      <c r="O32" s="142">
        <f t="shared" si="18"/>
        <v>4.1999999999999996E-2</v>
      </c>
      <c r="P32" s="142">
        <f t="shared" si="19"/>
        <v>-1.95E-2</v>
      </c>
      <c r="Q32" s="142">
        <f t="shared" si="20"/>
        <v>-0.02</v>
      </c>
      <c r="R32" s="142">
        <f t="shared" si="21"/>
        <v>-6.1499999999999999E-2</v>
      </c>
      <c r="S32" s="142">
        <f t="shared" si="22"/>
        <v>-6.2E-2</v>
      </c>
      <c r="T32" s="142">
        <f t="shared" si="23"/>
        <v>-5.0000000000000001E-4</v>
      </c>
      <c r="V32" s="29">
        <f ca="1">SUMIF(Effektmåling!$D$53:$E$57,'DB materialer'!B32,Effektmåling!$H$53:$H$57)</f>
        <v>0</v>
      </c>
      <c r="W32" s="477" t="str">
        <f ca="1">IF((V32*D32)=0,"",IF(Effektmåling!$Q$241="Ja",1.3*(V32*D32),V32*D32))</f>
        <v/>
      </c>
      <c r="X32" s="29" t="str">
        <f ca="1">IF(W32="","",RANK(W32,$W$7:$W$56,0)+COUNTIF($W$7:W32,W32)-1)</f>
        <v/>
      </c>
      <c r="Y32" s="29" t="str">
        <f t="shared" ref="Y32:Y39" ca="1" si="44">IF((V32*I32)=0,"",V32*I32)</f>
        <v/>
      </c>
      <c r="AA32" s="29">
        <f ca="1">$C$122*SUMIF(Effektmåling!$D$128:$E$132,'DB materialer'!$B32,Effektmåling!$I$128:$I$132)</f>
        <v>0</v>
      </c>
      <c r="AB32" s="30" t="str">
        <f ca="1">IF((AA32*D32)=0,"",IF(Effektmåling!$Q$241="Ja",1.3*(AA32*D32),AA32*D32))</f>
        <v/>
      </c>
      <c r="AC32" s="29" t="str">
        <f ca="1">IF(AB32="","",RANK(AB32,$AB$7:$AB$56,0)+COUNTIF($AB$7:AB32,AB32)-1)</f>
        <v/>
      </c>
      <c r="AD32" s="29">
        <f ca="1">IF((AA32*I32)=0,0,AA32*I32)</f>
        <v>0</v>
      </c>
      <c r="AE32" s="29"/>
      <c r="AF32" s="29" t="str">
        <f>IF((SUMIFS(Effektmåling!$J$178:$J$182,Effektmåling!$D$178:$D$182,$B32,$AH$120:$AH$124,'DB materialer'!AF$3))&lt;&gt;0,(SUMIFS(Effektmåling!$J$178:$J$182,Effektmåling!$D$178:$D$182,$B32,$AH$120:$AH$124,'DB materialer'!AF$3))*-O32,"")</f>
        <v/>
      </c>
      <c r="AG32" s="29" t="str">
        <f>IF((SUMIFS(Effektmåling!$J$178:$J$182,Effektmåling!$D$178:$D$182,$B32,$AH$120:$AH$124,'DB materialer'!AG$3))&lt;&gt;0,(SUMIFS(Effektmåling!$J$178:$J$182,Effektmåling!$D$178:$D$182,$B32,$AH$120:$AH$124,'DB materialer'!AG$3))*-P32,"")</f>
        <v/>
      </c>
      <c r="AH32" s="29" t="str">
        <f>IF((SUMIFS(Effektmåling!$J$178:$J$182,Effektmåling!$D$178:$D$182,$B32,$AH$120:$AH$124,'DB materialer'!AH$3))&lt;&gt;0,(SUMIFS(Effektmåling!$J$178:$J$182,Effektmåling!$D$178:$D$182,$B32,$AH$120:$AH$124,'DB materialer'!AH$3))*-Q32,"")</f>
        <v/>
      </c>
      <c r="AI32" s="29" t="str">
        <f>IF((SUMIFS(Effektmåling!$J$178:$J$182,Effektmåling!$D$178:$D$182,$B32,$AH$120:$AH$124,'DB materialer'!AI$3))&lt;&gt;0,(SUMIFS(Effektmåling!$J$178:$J$182,Effektmåling!$D$178:$D$182,$B32,$AH$120:$AH$124,'DB materialer'!AI$3))*-R32,"")</f>
        <v/>
      </c>
      <c r="AJ32" s="29" t="str">
        <f>IF((SUMIFS(Effektmåling!$J$178:$J$182,Effektmåling!$D$178:$D$182,$B32,$AH$120:$AH$124,'DB materialer'!AJ$3))&lt;&gt;0,(SUMIFS(Effektmåling!$J$178:$J$182,Effektmåling!$D$178:$D$182,$B32,$AH$120:$AH$124,'DB materialer'!AJ$3))*-S32,"")</f>
        <v/>
      </c>
      <c r="AK32" s="29" t="str">
        <f>IF((SUMIFS(Effektmåling!$J$178:$J$182,Effektmåling!$D$178:$D$182,$B32,$AH$120:$AH$124,'DB materialer'!AK$3))&lt;&gt;0,(SUMIFS(Effektmåling!$J$178:$J$182,Effektmåling!$D$178:$D$182,$B32,$AH$120:$AH$124,'DB materialer'!AK$3))*-T32,"")</f>
        <v/>
      </c>
      <c r="AM32" s="29" t="str">
        <f>IF((SUMIFS(Effektmåling!$J$163:$J$167,Effektmåling!$D$163:$D$167,$B32,$AO$120:$AO$124,'DB materialer'!AM$3))&lt;&gt;0,(SUMIFS(Effektmåling!$J$163:$J$167,Effektmåling!$D$163:$D$167,$B32,$AO$120:$AO$124,'DB materialer'!AM$3))*(-O32)*($C$122),"")</f>
        <v/>
      </c>
      <c r="AN32" s="29" t="str">
        <f>IF((SUMIFS(Effektmåling!$J$163:$J$167,Effektmåling!$D$163:$D$167,$B32,$AO$120:$AO$124,'DB materialer'!AN$3))&lt;&gt;0,(SUMIFS(Effektmåling!$J$163:$J$167,Effektmåling!$D$163:$D$167,$B32,$AO$120:$AO$124,'DB materialer'!AN$3))*(-P32)*($C$122),"")</f>
        <v/>
      </c>
      <c r="AO32" s="29" t="str">
        <f>IF((SUMIFS(Effektmåling!$J$163:$J$167,Effektmåling!$D$163:$D$167,$B32,$AO$120:$AO$124,'DB materialer'!AO$3))&lt;&gt;0,(SUMIFS(Effektmåling!$J$163:$J$167,Effektmåling!$D$163:$D$167,$B32,$AO$120:$AO$124,'DB materialer'!AO$3))*(-Q32)*($C$122),"")</f>
        <v/>
      </c>
      <c r="AP32" s="29" t="str">
        <f>IF((SUMIFS(Effektmåling!$J$163:$J$167,Effektmåling!$D$163:$D$167,$B32,$AO$120:$AO$124,'DB materialer'!AP$3))&lt;&gt;0,(SUMIFS(Effektmåling!$J$163:$J$167,Effektmåling!$D$163:$D$167,$B32,$AO$120:$AO$124,'DB materialer'!AP$3))*(-R32)*($C$122),"")</f>
        <v/>
      </c>
      <c r="AQ32" s="29" t="str">
        <f>IF((SUMIFS(Effektmåling!$J$163:$J$167,Effektmåling!$D$163:$D$167,$B32,$AO$120:$AO$124,'DB materialer'!AQ$3))&lt;&gt;0,(SUMIFS(Effektmåling!$J$163:$J$167,Effektmåling!$D$163:$D$167,$B32,$AO$120:$AO$124,'DB materialer'!AQ$3))*(-S32)*($C$122),"")</f>
        <v/>
      </c>
      <c r="AR32" s="29" t="str">
        <f>IF((SUMIFS(Effektmåling!$J$163:$J$167,Effektmåling!$D$163:$D$167,$B32,$AO$120:$AO$124,'DB materialer'!AR$3))&lt;&gt;0,(SUMIFS(Effektmåling!$J$163:$J$167,Effektmåling!$D$163:$D$167,$B32,$AO$120:$AO$124,'DB materialer'!AR$3))*(-T32)*($C$122),"")</f>
        <v/>
      </c>
      <c r="AT32" s="30">
        <f t="shared" ref="AT32:AT39" si="45">IF((K32-J32)=0,1E-30,K32-J32)</f>
        <v>1.0000000000000001E-30</v>
      </c>
      <c r="AU32" s="40">
        <f t="shared" ref="AU32:AU39" si="46">IF((L32-J32)=0,1E-30,L32-J32)</f>
        <v>7.3062905053256902E-4</v>
      </c>
      <c r="AV32" s="41">
        <f t="shared" ref="AV32:AV39" si="47">IF((M32-J32)=0,1E-30,M32-J32)</f>
        <v>1.0000000000000001E-30</v>
      </c>
      <c r="AW32" s="40">
        <f t="shared" ref="AW32:AW39" si="48">IF((L32-K32)=0,1E-30,L32-K32)</f>
        <v>7.3062905053256902E-4</v>
      </c>
      <c r="AX32" s="41">
        <f t="shared" ref="AX32:AX39" si="49">IF((M32-K32)=0,1E-30,M32-K32)</f>
        <v>1.0000000000000001E-30</v>
      </c>
      <c r="AY32" s="41">
        <f t="shared" ref="AY32:AY39" si="50">IF((M32-L32)=0,1E-30,M32-L32)</f>
        <v>-7.3062905053256902E-4</v>
      </c>
      <c r="BA32" s="29" t="str">
        <f>IF((SUMIFS(Effektmåling!$J$178:$J$182,Effektmåling!$D$178:$D$182,$B32,$AH$120:$AH$124,BA$3))&lt;&gt;0,(SUMIFS(Effektmåling!$J$178:$J$182,Effektmåling!$D$178:$D$182,$B32,$AH$120:$AH$124,BA$3))*-AT32,"")</f>
        <v/>
      </c>
      <c r="BB32" s="29" t="str">
        <f>IF((SUMIFS(Effektmåling!$J$178:$J$182,Effektmåling!$D$178:$D$182,$B32,$AH$120:$AH$124,BB$3))&lt;&gt;0,(SUMIFS(Effektmåling!$J$178:$J$182,Effektmåling!$D$178:$D$182,$B32,$AH$120:$AH$124,BB$3))*-AU32,"")</f>
        <v/>
      </c>
      <c r="BC32" s="29" t="str">
        <f>IF((SUMIFS(Effektmåling!$J$178:$J$182,Effektmåling!$D$178:$D$182,$B32,$AH$120:$AH$124,BC$3))&lt;&gt;0,(SUMIFS(Effektmåling!$J$178:$J$182,Effektmåling!$D$178:$D$182,$B32,$AH$120:$AH$124,BC$3))*-AV32,"")</f>
        <v/>
      </c>
      <c r="BD32" s="29" t="str">
        <f>IF((SUMIFS(Effektmåling!$J$178:$J$182,Effektmåling!$D$178:$D$182,$B32,$AH$120:$AH$124,BD$3))&lt;&gt;0,(SUMIFS(Effektmåling!$J$178:$J$182,Effektmåling!$D$178:$D$182,$B32,$AH$120:$AH$124,BD$3))*-AW32,"")</f>
        <v/>
      </c>
      <c r="BE32" s="29" t="str">
        <f>IF((SUMIFS(Effektmåling!$J$178:$J$182,Effektmåling!$D$178:$D$182,$B32,$AH$120:$AH$124,BE$3))&lt;&gt;0,(SUMIFS(Effektmåling!$J$178:$J$182,Effektmåling!$D$178:$D$182,$B32,$AH$120:$AH$124,BE$3))*-AX32,"")</f>
        <v/>
      </c>
      <c r="BF32" s="29" t="str">
        <f>IF((SUMIFS(Effektmåling!$J$178:$J$182,Effektmåling!$D$178:$D$182,$B32,$AH$120:$AH$124,BF$3))&lt;&gt;0,(SUMIFS(Effektmåling!$J$178:$J$182,Effektmåling!$D$178:$D$182,$B32,$AH$120:$AH$124,BF$3))*-AY32,"")</f>
        <v/>
      </c>
      <c r="BH32" s="29" t="str">
        <f>IF((SUMIFS(Effektmåling!$J$163:$J$167,Effektmåling!$D$163:$D$167,$B32,$AO$120:$AO$124,BH$3))&lt;&gt;0,(SUMIFS(Effektmåling!$J$163:$J$167,Effektmåling!$D$163:$D$167,$B32,$AO$120:$AO$124,BH$3))*-AT32,"")</f>
        <v/>
      </c>
      <c r="BI32" s="29" t="str">
        <f>IF((SUMIFS(Effektmåling!$J$163:$J$167,Effektmåling!$D$163:$D$167,$B32,$AO$120:$AO$124,BI$3))&lt;&gt;0,(SUMIFS(Effektmåling!$J$163:$J$167,Effektmåling!$D$163:$D$167,$B32,$AO$120:$AO$124,BI$3))*-AU32,"")</f>
        <v/>
      </c>
      <c r="BJ32" s="29" t="str">
        <f>IF((SUMIFS(Effektmåling!$J$163:$J$167,Effektmåling!$D$163:$D$167,$B32,$AO$120:$AO$124,BJ$3))&lt;&gt;0,(SUMIFS(Effektmåling!$J$163:$J$167,Effektmåling!$D$163:$D$167,$B32,$AO$120:$AO$124,BJ$3))*-AV32,"")</f>
        <v/>
      </c>
      <c r="BK32" s="29" t="str">
        <f>IF((SUMIFS(Effektmåling!$J$163:$J$167,Effektmåling!$D$163:$D$167,$B32,$AO$120:$AO$124,BK$3))&lt;&gt;0,(SUMIFS(Effektmåling!$J$163:$J$167,Effektmåling!$D$163:$D$167,$B32,$AO$120:$AO$124,BK$3))*-AW32,"")</f>
        <v/>
      </c>
      <c r="BL32" s="29" t="str">
        <f>IF((SUMIFS(Effektmåling!$J$163:$J$167,Effektmåling!$D$163:$D$167,$B32,$AO$120:$AO$124,BL$3))&lt;&gt;0,(SUMIFS(Effektmåling!$J$163:$J$167,Effektmåling!$D$163:$D$167,$B32,$AO$120:$AO$124,BL$3))*-AX32,"")</f>
        <v/>
      </c>
      <c r="BM32" s="29" t="str">
        <f>IF((SUMIFS(Effektmåling!$J$163:$J$167,Effektmåling!$D$163:$D$167,$B32,$AO$120:$AO$124,BM$3))&lt;&gt;0,(SUMIFS(Effektmåling!$J$163:$J$167,Effektmåling!$D$163:$D$167,$B32,$AO$120:$AO$124,BM$3))*-AY32,"")</f>
        <v/>
      </c>
      <c r="BO32" s="211">
        <f t="shared" ca="1" si="24"/>
        <v>100000</v>
      </c>
      <c r="BP32" s="207" t="str">
        <f t="shared" si="4"/>
        <v>Cement</v>
      </c>
      <c r="BQ32" s="29">
        <f t="shared" ca="1" si="25"/>
        <v>0</v>
      </c>
      <c r="BR32" s="29">
        <f t="shared" ca="1" si="14"/>
        <v>100000</v>
      </c>
      <c r="BS32" s="29"/>
      <c r="BT32" s="29"/>
      <c r="BU32" s="29"/>
      <c r="BV32" s="29"/>
      <c r="BW32" s="212"/>
    </row>
    <row r="33" spans="1:75" x14ac:dyDescent="0.15">
      <c r="A33" s="19">
        <f t="shared" si="5"/>
        <v>29</v>
      </c>
      <c r="B33" s="19" t="s">
        <v>275</v>
      </c>
      <c r="C33" s="19">
        <v>1</v>
      </c>
      <c r="D33" s="22">
        <v>0.14630000000000001</v>
      </c>
      <c r="E33" s="22">
        <v>0.02</v>
      </c>
      <c r="F33" s="22">
        <v>6.2E-2</v>
      </c>
      <c r="G33" s="22">
        <v>5.0000000000000001E-4</v>
      </c>
      <c r="H33" s="119">
        <v>0</v>
      </c>
      <c r="I33" s="74">
        <v>0</v>
      </c>
      <c r="J33" s="119">
        <v>0</v>
      </c>
      <c r="K33" s="74">
        <v>0</v>
      </c>
      <c r="L33" s="130">
        <v>7.3062905053256902E-4</v>
      </c>
      <c r="M33" s="74">
        <v>0</v>
      </c>
      <c r="O33" s="142">
        <f t="shared" si="18"/>
        <v>4.1999999999999996E-2</v>
      </c>
      <c r="P33" s="142">
        <f t="shared" si="19"/>
        <v>-1.95E-2</v>
      </c>
      <c r="Q33" s="142">
        <f t="shared" si="20"/>
        <v>-0.02</v>
      </c>
      <c r="R33" s="142">
        <f t="shared" si="21"/>
        <v>-6.1499999999999999E-2</v>
      </c>
      <c r="S33" s="142">
        <f t="shared" si="22"/>
        <v>-6.2E-2</v>
      </c>
      <c r="T33" s="142">
        <f t="shared" si="23"/>
        <v>-5.0000000000000001E-4</v>
      </c>
      <c r="V33" s="29">
        <f ca="1">SUMIF(Effektmåling!$D$53:$E$57,'DB materialer'!B33,Effektmåling!$H$53:$H$57)</f>
        <v>0</v>
      </c>
      <c r="W33" s="477" t="str">
        <f ca="1">IF((V33*D33)=0,"",IF(Effektmåling!$Q$241="Ja",1.3*(V33*D33),V33*D33))</f>
        <v/>
      </c>
      <c r="X33" s="29" t="str">
        <f ca="1">IF(W33="","",RANK(W33,$W$7:$W$56,0)+COUNTIF($W$7:W33,W33)-1)</f>
        <v/>
      </c>
      <c r="Y33" s="29" t="str">
        <f t="shared" ca="1" si="44"/>
        <v/>
      </c>
      <c r="AA33" s="29">
        <f ca="1">$C$122*SUMIF(Effektmåling!$D$128:$E$132,'DB materialer'!$B33,Effektmåling!$I$128:$I$132)</f>
        <v>0</v>
      </c>
      <c r="AB33" s="477" t="str">
        <f ca="1">IF((AA33*D33)=0,"",IF(Effektmåling!$Q$241="Ja",1.3*(AA33*D33),AA33*D33))</f>
        <v/>
      </c>
      <c r="AC33" s="29" t="str">
        <f ca="1">IF(AB33="","",RANK(AB33,$AB$7:$AB$56,0)+COUNTIF($AB$7:AB33,AB33)-1)</f>
        <v/>
      </c>
      <c r="AD33" s="29">
        <f t="shared" ref="AD33:AD52" ca="1" si="51">IF((AA33*I33)=0,0,AA33*I33)</f>
        <v>0</v>
      </c>
      <c r="AE33" s="29"/>
      <c r="AF33" s="29" t="str">
        <f>IF((SUMIFS(Effektmåling!$J$178:$J$182,Effektmåling!$D$178:$D$182,$B33,$AH$120:$AH$124,'DB materialer'!AF$3))&lt;&gt;0,(SUMIFS(Effektmåling!$J$178:$J$182,Effektmåling!$D$178:$D$182,$B33,$AH$120:$AH$124,'DB materialer'!AF$3))*-O33,"")</f>
        <v/>
      </c>
      <c r="AG33" s="29" t="str">
        <f>IF((SUMIFS(Effektmåling!$J$178:$J$182,Effektmåling!$D$178:$D$182,$B33,$AH$120:$AH$124,'DB materialer'!AG$3))&lt;&gt;0,(SUMIFS(Effektmåling!$J$178:$J$182,Effektmåling!$D$178:$D$182,$B33,$AH$120:$AH$124,'DB materialer'!AG$3))*-P33,"")</f>
        <v/>
      </c>
      <c r="AH33" s="29" t="str">
        <f>IF((SUMIFS(Effektmåling!$J$178:$J$182,Effektmåling!$D$178:$D$182,$B33,$AH$120:$AH$124,'DB materialer'!AH$3))&lt;&gt;0,(SUMIFS(Effektmåling!$J$178:$J$182,Effektmåling!$D$178:$D$182,$B33,$AH$120:$AH$124,'DB materialer'!AH$3))*-Q33,"")</f>
        <v/>
      </c>
      <c r="AI33" s="29" t="str">
        <f>IF((SUMIFS(Effektmåling!$J$178:$J$182,Effektmåling!$D$178:$D$182,$B33,$AH$120:$AH$124,'DB materialer'!AI$3))&lt;&gt;0,(SUMIFS(Effektmåling!$J$178:$J$182,Effektmåling!$D$178:$D$182,$B33,$AH$120:$AH$124,'DB materialer'!AI$3))*-R33,"")</f>
        <v/>
      </c>
      <c r="AJ33" s="29" t="str">
        <f>IF((SUMIFS(Effektmåling!$J$178:$J$182,Effektmåling!$D$178:$D$182,$B33,$AH$120:$AH$124,'DB materialer'!AJ$3))&lt;&gt;0,(SUMIFS(Effektmåling!$J$178:$J$182,Effektmåling!$D$178:$D$182,$B33,$AH$120:$AH$124,'DB materialer'!AJ$3))*-S33,"")</f>
        <v/>
      </c>
      <c r="AK33" s="29" t="str">
        <f>IF((SUMIFS(Effektmåling!$J$178:$J$182,Effektmåling!$D$178:$D$182,$B33,$AH$120:$AH$124,'DB materialer'!AK$3))&lt;&gt;0,(SUMIFS(Effektmåling!$J$178:$J$182,Effektmåling!$D$178:$D$182,$B33,$AH$120:$AH$124,'DB materialer'!AK$3))*-T33,"")</f>
        <v/>
      </c>
      <c r="AM33" s="29" t="str">
        <f>IF((SUMIFS(Effektmåling!$J$163:$J$167,Effektmåling!$D$163:$D$167,$B33,$AO$120:$AO$124,'DB materialer'!AM$3))&lt;&gt;0,(SUMIFS(Effektmåling!$J$163:$J$167,Effektmåling!$D$163:$D$167,$B33,$AO$120:$AO$124,'DB materialer'!AM$3))*(-O33)*($C$122),"")</f>
        <v/>
      </c>
      <c r="AN33" s="29" t="str">
        <f>IF((SUMIFS(Effektmåling!$J$163:$J$167,Effektmåling!$D$163:$D$167,$B33,$AO$120:$AO$124,'DB materialer'!AN$3))&lt;&gt;0,(SUMIFS(Effektmåling!$J$163:$J$167,Effektmåling!$D$163:$D$167,$B33,$AO$120:$AO$124,'DB materialer'!AN$3))*(-P33)*($C$122),"")</f>
        <v/>
      </c>
      <c r="AO33" s="29" t="str">
        <f>IF((SUMIFS(Effektmåling!$J$163:$J$167,Effektmåling!$D$163:$D$167,$B33,$AO$120:$AO$124,'DB materialer'!AO$3))&lt;&gt;0,(SUMIFS(Effektmåling!$J$163:$J$167,Effektmåling!$D$163:$D$167,$B33,$AO$120:$AO$124,'DB materialer'!AO$3))*(-Q33)*($C$122),"")</f>
        <v/>
      </c>
      <c r="AP33" s="29" t="str">
        <f>IF((SUMIFS(Effektmåling!$J$163:$J$167,Effektmåling!$D$163:$D$167,$B33,$AO$120:$AO$124,'DB materialer'!AP$3))&lt;&gt;0,(SUMIFS(Effektmåling!$J$163:$J$167,Effektmåling!$D$163:$D$167,$B33,$AO$120:$AO$124,'DB materialer'!AP$3))*(-R33)*($C$122),"")</f>
        <v/>
      </c>
      <c r="AQ33" s="29" t="str">
        <f>IF((SUMIFS(Effektmåling!$J$163:$J$167,Effektmåling!$D$163:$D$167,$B33,$AO$120:$AO$124,'DB materialer'!AQ$3))&lt;&gt;0,(SUMIFS(Effektmåling!$J$163:$J$167,Effektmåling!$D$163:$D$167,$B33,$AO$120:$AO$124,'DB materialer'!AQ$3))*(-S33)*($C$122),"")</f>
        <v/>
      </c>
      <c r="AR33" s="29" t="str">
        <f>IF((SUMIFS(Effektmåling!$J$163:$J$167,Effektmåling!$D$163:$D$167,$B33,$AO$120:$AO$124,'DB materialer'!AR$3))&lt;&gt;0,(SUMIFS(Effektmåling!$J$163:$J$167,Effektmåling!$D$163:$D$167,$B33,$AO$120:$AO$124,'DB materialer'!AR$3))*(-T33)*($C$122),"")</f>
        <v/>
      </c>
      <c r="AT33" s="30">
        <f t="shared" si="45"/>
        <v>1.0000000000000001E-30</v>
      </c>
      <c r="AU33" s="40">
        <f t="shared" si="46"/>
        <v>7.3062905053256902E-4</v>
      </c>
      <c r="AV33" s="41">
        <f t="shared" si="47"/>
        <v>1.0000000000000001E-30</v>
      </c>
      <c r="AW33" s="40">
        <f t="shared" si="48"/>
        <v>7.3062905053256902E-4</v>
      </c>
      <c r="AX33" s="41">
        <f t="shared" si="49"/>
        <v>1.0000000000000001E-30</v>
      </c>
      <c r="AY33" s="41">
        <f t="shared" si="50"/>
        <v>-7.3062905053256902E-4</v>
      </c>
      <c r="BA33" s="29" t="str">
        <f>IF((SUMIFS(Effektmåling!$J$178:$J$182,Effektmåling!$D$178:$D$182,$B33,$AH$120:$AH$124,BA$3))&lt;&gt;0,(SUMIFS(Effektmåling!$J$178:$J$182,Effektmåling!$D$178:$D$182,$B33,$AH$120:$AH$124,BA$3))*-AT33,"")</f>
        <v/>
      </c>
      <c r="BB33" s="29" t="str">
        <f>IF((SUMIFS(Effektmåling!$J$178:$J$182,Effektmåling!$D$178:$D$182,$B33,$AH$120:$AH$124,BB$3))&lt;&gt;0,(SUMIFS(Effektmåling!$J$178:$J$182,Effektmåling!$D$178:$D$182,$B33,$AH$120:$AH$124,BB$3))*-AU33,"")</f>
        <v/>
      </c>
      <c r="BC33" s="29" t="str">
        <f>IF((SUMIFS(Effektmåling!$J$178:$J$182,Effektmåling!$D$178:$D$182,$B33,$AH$120:$AH$124,BC$3))&lt;&gt;0,(SUMIFS(Effektmåling!$J$178:$J$182,Effektmåling!$D$178:$D$182,$B33,$AH$120:$AH$124,BC$3))*-AV33,"")</f>
        <v/>
      </c>
      <c r="BD33" s="29" t="str">
        <f>IF((SUMIFS(Effektmåling!$J$178:$J$182,Effektmåling!$D$178:$D$182,$B33,$AH$120:$AH$124,BD$3))&lt;&gt;0,(SUMIFS(Effektmåling!$J$178:$J$182,Effektmåling!$D$178:$D$182,$B33,$AH$120:$AH$124,BD$3))*-AW33,"")</f>
        <v/>
      </c>
      <c r="BE33" s="29" t="str">
        <f>IF((SUMIFS(Effektmåling!$J$178:$J$182,Effektmåling!$D$178:$D$182,$B33,$AH$120:$AH$124,BE$3))&lt;&gt;0,(SUMIFS(Effektmåling!$J$178:$J$182,Effektmåling!$D$178:$D$182,$B33,$AH$120:$AH$124,BE$3))*-AX33,"")</f>
        <v/>
      </c>
      <c r="BF33" s="29" t="str">
        <f>IF((SUMIFS(Effektmåling!$J$178:$J$182,Effektmåling!$D$178:$D$182,$B33,$AH$120:$AH$124,BF$3))&lt;&gt;0,(SUMIFS(Effektmåling!$J$178:$J$182,Effektmåling!$D$178:$D$182,$B33,$AH$120:$AH$124,BF$3))*-AY33,"")</f>
        <v/>
      </c>
      <c r="BH33" s="29" t="str">
        <f>IF((SUMIFS(Effektmåling!$J$163:$J$167,Effektmåling!$D$163:$D$167,$B33,$AO$120:$AO$124,BH$3))&lt;&gt;0,(SUMIFS(Effektmåling!$J$163:$J$167,Effektmåling!$D$163:$D$167,$B33,$AO$120:$AO$124,BH$3))*-AT33,"")</f>
        <v/>
      </c>
      <c r="BI33" s="29" t="str">
        <f>IF((SUMIFS(Effektmåling!$J$163:$J$167,Effektmåling!$D$163:$D$167,$B33,$AO$120:$AO$124,BI$3))&lt;&gt;0,(SUMIFS(Effektmåling!$J$163:$J$167,Effektmåling!$D$163:$D$167,$B33,$AO$120:$AO$124,BI$3))*-AU33,"")</f>
        <v/>
      </c>
      <c r="BJ33" s="29" t="str">
        <f>IF((SUMIFS(Effektmåling!$J$163:$J$167,Effektmåling!$D$163:$D$167,$B33,$AO$120:$AO$124,BJ$3))&lt;&gt;0,(SUMIFS(Effektmåling!$J$163:$J$167,Effektmåling!$D$163:$D$167,$B33,$AO$120:$AO$124,BJ$3))*-AV33,"")</f>
        <v/>
      </c>
      <c r="BK33" s="29" t="str">
        <f>IF((SUMIFS(Effektmåling!$J$163:$J$167,Effektmåling!$D$163:$D$167,$B33,$AO$120:$AO$124,BK$3))&lt;&gt;0,(SUMIFS(Effektmåling!$J$163:$J$167,Effektmåling!$D$163:$D$167,$B33,$AO$120:$AO$124,BK$3))*-AW33,"")</f>
        <v/>
      </c>
      <c r="BL33" s="29" t="str">
        <f>IF((SUMIFS(Effektmåling!$J$163:$J$167,Effektmåling!$D$163:$D$167,$B33,$AO$120:$AO$124,BL$3))&lt;&gt;0,(SUMIFS(Effektmåling!$J$163:$J$167,Effektmåling!$D$163:$D$167,$B33,$AO$120:$AO$124,BL$3))*-AX33,"")</f>
        <v/>
      </c>
      <c r="BM33" s="29" t="str">
        <f>IF((SUMIFS(Effektmåling!$J$163:$J$167,Effektmåling!$D$163:$D$167,$B33,$AO$120:$AO$124,BM$3))&lt;&gt;0,(SUMIFS(Effektmåling!$J$163:$J$167,Effektmåling!$D$163:$D$167,$B33,$AO$120:$AO$124,BM$3))*-AY33,"")</f>
        <v/>
      </c>
      <c r="BO33" s="211">
        <f t="shared" ca="1" si="24"/>
        <v>100000</v>
      </c>
      <c r="BP33" s="207" t="str">
        <f t="shared" si="4"/>
        <v>Mursten</v>
      </c>
      <c r="BQ33" s="29">
        <f t="shared" ca="1" si="25"/>
        <v>0</v>
      </c>
      <c r="BR33" s="29">
        <f t="shared" ca="1" si="14"/>
        <v>100000</v>
      </c>
      <c r="BS33" s="29"/>
      <c r="BT33" s="29"/>
      <c r="BU33" s="29"/>
      <c r="BV33" s="29"/>
      <c r="BW33" s="212"/>
    </row>
    <row r="34" spans="1:75" x14ac:dyDescent="0.15">
      <c r="A34" s="19">
        <f t="shared" si="5"/>
        <v>30</v>
      </c>
      <c r="B34" s="19" t="s">
        <v>276</v>
      </c>
      <c r="C34" s="19">
        <v>1</v>
      </c>
      <c r="D34" s="22">
        <v>2.0999999999999999E-3</v>
      </c>
      <c r="E34" s="24">
        <v>0.02</v>
      </c>
      <c r="F34" s="24">
        <v>6.2E-2</v>
      </c>
      <c r="G34" s="24">
        <v>5.0000000000000001E-4</v>
      </c>
      <c r="H34" s="119">
        <v>0</v>
      </c>
      <c r="I34" s="74">
        <v>0</v>
      </c>
      <c r="J34" s="119">
        <v>0</v>
      </c>
      <c r="K34" s="74">
        <v>0</v>
      </c>
      <c r="L34" s="130">
        <v>7.3062905053256902E-4</v>
      </c>
      <c r="M34" s="74">
        <v>0</v>
      </c>
      <c r="O34" s="142">
        <f t="shared" si="18"/>
        <v>4.1999999999999996E-2</v>
      </c>
      <c r="P34" s="142">
        <f t="shared" si="19"/>
        <v>-1.95E-2</v>
      </c>
      <c r="Q34" s="142">
        <f t="shared" si="20"/>
        <v>-0.02</v>
      </c>
      <c r="R34" s="142">
        <f t="shared" si="21"/>
        <v>-6.1499999999999999E-2</v>
      </c>
      <c r="S34" s="142">
        <f t="shared" si="22"/>
        <v>-6.2E-2</v>
      </c>
      <c r="T34" s="142">
        <f t="shared" si="23"/>
        <v>-5.0000000000000001E-4</v>
      </c>
      <c r="V34" s="29">
        <f ca="1">SUMIF(Effektmåling!$D$53:$E$57,'DB materialer'!B34,Effektmåling!$H$53:$H$57)</f>
        <v>0</v>
      </c>
      <c r="W34" s="477" t="str">
        <f ca="1">IF((V34*D34)=0,"",IF(Effektmåling!$Q$241="Ja",1.3*(V34*D34),V34*D34))</f>
        <v/>
      </c>
      <c r="X34" s="29" t="str">
        <f ca="1">IF(W34="","",RANK(W34,$W$7:$W$56,0)+COUNTIF($W$7:W34,W34)-1)</f>
        <v/>
      </c>
      <c r="Y34" s="29" t="str">
        <f t="shared" ca="1" si="44"/>
        <v/>
      </c>
      <c r="AA34" s="29">
        <f ca="1">$C$122*SUMIF(Effektmåling!$D$128:$E$132,'DB materialer'!$B34,Effektmåling!$I$128:$I$132)</f>
        <v>0</v>
      </c>
      <c r="AB34" s="477" t="str">
        <f ca="1">IF((AA34*D34)=0,"",IF(Effektmåling!$Q$241="Ja",1.3*(AA34*D34),AA34*D34))</f>
        <v/>
      </c>
      <c r="AC34" s="29" t="str">
        <f ca="1">IF(AB34="","",RANK(AB34,$AB$7:$AB$56,0)+COUNTIF($AB$7:AB34,AB34)-1)</f>
        <v/>
      </c>
      <c r="AD34" s="29">
        <f t="shared" ca="1" si="51"/>
        <v>0</v>
      </c>
      <c r="AE34" s="29"/>
      <c r="AF34" s="29" t="str">
        <f>IF((SUMIFS(Effektmåling!$J$178:$J$182,Effektmåling!$D$178:$D$182,$B34,$AH$120:$AH$124,'DB materialer'!AF$3))&lt;&gt;0,(SUMIFS(Effektmåling!$J$178:$J$182,Effektmåling!$D$178:$D$182,$B34,$AH$120:$AH$124,'DB materialer'!AF$3))*-O34,"")</f>
        <v/>
      </c>
      <c r="AG34" s="29" t="str">
        <f>IF((SUMIFS(Effektmåling!$J$178:$J$182,Effektmåling!$D$178:$D$182,$B34,$AH$120:$AH$124,'DB materialer'!AG$3))&lt;&gt;0,(SUMIFS(Effektmåling!$J$178:$J$182,Effektmåling!$D$178:$D$182,$B34,$AH$120:$AH$124,'DB materialer'!AG$3))*-P34,"")</f>
        <v/>
      </c>
      <c r="AH34" s="29" t="str">
        <f>IF((SUMIFS(Effektmåling!$J$178:$J$182,Effektmåling!$D$178:$D$182,$B34,$AH$120:$AH$124,'DB materialer'!AH$3))&lt;&gt;0,(SUMIFS(Effektmåling!$J$178:$J$182,Effektmåling!$D$178:$D$182,$B34,$AH$120:$AH$124,'DB materialer'!AH$3))*-Q34,"")</f>
        <v/>
      </c>
      <c r="AI34" s="29" t="str">
        <f>IF((SUMIFS(Effektmåling!$J$178:$J$182,Effektmåling!$D$178:$D$182,$B34,$AH$120:$AH$124,'DB materialer'!AI$3))&lt;&gt;0,(SUMIFS(Effektmåling!$J$178:$J$182,Effektmåling!$D$178:$D$182,$B34,$AH$120:$AH$124,'DB materialer'!AI$3))*-R34,"")</f>
        <v/>
      </c>
      <c r="AJ34" s="29" t="str">
        <f>IF((SUMIFS(Effektmåling!$J$178:$J$182,Effektmåling!$D$178:$D$182,$B34,$AH$120:$AH$124,'DB materialer'!AJ$3))&lt;&gt;0,(SUMIFS(Effektmåling!$J$178:$J$182,Effektmåling!$D$178:$D$182,$B34,$AH$120:$AH$124,'DB materialer'!AJ$3))*-S34,"")</f>
        <v/>
      </c>
      <c r="AK34" s="29" t="str">
        <f>IF((SUMIFS(Effektmåling!$J$178:$J$182,Effektmåling!$D$178:$D$182,$B34,$AH$120:$AH$124,'DB materialer'!AK$3))&lt;&gt;0,(SUMIFS(Effektmåling!$J$178:$J$182,Effektmåling!$D$178:$D$182,$B34,$AH$120:$AH$124,'DB materialer'!AK$3))*-T34,"")</f>
        <v/>
      </c>
      <c r="AM34" s="29" t="str">
        <f>IF((SUMIFS(Effektmåling!$J$163:$J$167,Effektmåling!$D$163:$D$167,$B34,$AO$120:$AO$124,'DB materialer'!AM$3))&lt;&gt;0,(SUMIFS(Effektmåling!$J$163:$J$167,Effektmåling!$D$163:$D$167,$B34,$AO$120:$AO$124,'DB materialer'!AM$3))*(-O34)*($C$122),"")</f>
        <v/>
      </c>
      <c r="AN34" s="29" t="str">
        <f>IF((SUMIFS(Effektmåling!$J$163:$J$167,Effektmåling!$D$163:$D$167,$B34,$AO$120:$AO$124,'DB materialer'!AN$3))&lt;&gt;0,(SUMIFS(Effektmåling!$J$163:$J$167,Effektmåling!$D$163:$D$167,$B34,$AO$120:$AO$124,'DB materialer'!AN$3))*(-P34)*($C$122),"")</f>
        <v/>
      </c>
      <c r="AO34" s="29" t="str">
        <f>IF((SUMIFS(Effektmåling!$J$163:$J$167,Effektmåling!$D$163:$D$167,$B34,$AO$120:$AO$124,'DB materialer'!AO$3))&lt;&gt;0,(SUMIFS(Effektmåling!$J$163:$J$167,Effektmåling!$D$163:$D$167,$B34,$AO$120:$AO$124,'DB materialer'!AO$3))*(-Q34)*($C$122),"")</f>
        <v/>
      </c>
      <c r="AP34" s="29" t="str">
        <f>IF((SUMIFS(Effektmåling!$J$163:$J$167,Effektmåling!$D$163:$D$167,$B34,$AO$120:$AO$124,'DB materialer'!AP$3))&lt;&gt;0,(SUMIFS(Effektmåling!$J$163:$J$167,Effektmåling!$D$163:$D$167,$B34,$AO$120:$AO$124,'DB materialer'!AP$3))*(-R34)*($C$122),"")</f>
        <v/>
      </c>
      <c r="AQ34" s="29" t="str">
        <f>IF((SUMIFS(Effektmåling!$J$163:$J$167,Effektmåling!$D$163:$D$167,$B34,$AO$120:$AO$124,'DB materialer'!AQ$3))&lt;&gt;0,(SUMIFS(Effektmåling!$J$163:$J$167,Effektmåling!$D$163:$D$167,$B34,$AO$120:$AO$124,'DB materialer'!AQ$3))*(-S34)*($C$122),"")</f>
        <v/>
      </c>
      <c r="AR34" s="29" t="str">
        <f>IF((SUMIFS(Effektmåling!$J$163:$J$167,Effektmåling!$D$163:$D$167,$B34,$AO$120:$AO$124,'DB materialer'!AR$3))&lt;&gt;0,(SUMIFS(Effektmåling!$J$163:$J$167,Effektmåling!$D$163:$D$167,$B34,$AO$120:$AO$124,'DB materialer'!AR$3))*(-T34)*($C$122),"")</f>
        <v/>
      </c>
      <c r="AT34" s="30">
        <f t="shared" si="45"/>
        <v>1.0000000000000001E-30</v>
      </c>
      <c r="AU34" s="40">
        <f t="shared" si="46"/>
        <v>7.3062905053256902E-4</v>
      </c>
      <c r="AV34" s="41">
        <f t="shared" si="47"/>
        <v>1.0000000000000001E-30</v>
      </c>
      <c r="AW34" s="40">
        <f t="shared" si="48"/>
        <v>7.3062905053256902E-4</v>
      </c>
      <c r="AX34" s="41">
        <f t="shared" si="49"/>
        <v>1.0000000000000001E-30</v>
      </c>
      <c r="AY34" s="41">
        <f t="shared" si="50"/>
        <v>-7.3062905053256902E-4</v>
      </c>
      <c r="BA34" s="29" t="str">
        <f>IF((SUMIFS(Effektmåling!$J$178:$J$182,Effektmåling!$D$178:$D$182,$B34,$AH$120:$AH$124,BA$3))&lt;&gt;0,(SUMIFS(Effektmåling!$J$178:$J$182,Effektmåling!$D$178:$D$182,$B34,$AH$120:$AH$124,BA$3))*-AT34,"")</f>
        <v/>
      </c>
      <c r="BB34" s="29" t="str">
        <f>IF((SUMIFS(Effektmåling!$J$178:$J$182,Effektmåling!$D$178:$D$182,$B34,$AH$120:$AH$124,BB$3))&lt;&gt;0,(SUMIFS(Effektmåling!$J$178:$J$182,Effektmåling!$D$178:$D$182,$B34,$AH$120:$AH$124,BB$3))*-AU34,"")</f>
        <v/>
      </c>
      <c r="BC34" s="29" t="str">
        <f>IF((SUMIFS(Effektmåling!$J$178:$J$182,Effektmåling!$D$178:$D$182,$B34,$AH$120:$AH$124,BC$3))&lt;&gt;0,(SUMIFS(Effektmåling!$J$178:$J$182,Effektmåling!$D$178:$D$182,$B34,$AH$120:$AH$124,BC$3))*-AV34,"")</f>
        <v/>
      </c>
      <c r="BD34" s="29" t="str">
        <f>IF((SUMIFS(Effektmåling!$J$178:$J$182,Effektmåling!$D$178:$D$182,$B34,$AH$120:$AH$124,BD$3))&lt;&gt;0,(SUMIFS(Effektmåling!$J$178:$J$182,Effektmåling!$D$178:$D$182,$B34,$AH$120:$AH$124,BD$3))*-AW34,"")</f>
        <v/>
      </c>
      <c r="BE34" s="29" t="str">
        <f>IF((SUMIFS(Effektmåling!$J$178:$J$182,Effektmåling!$D$178:$D$182,$B34,$AH$120:$AH$124,BE$3))&lt;&gt;0,(SUMIFS(Effektmåling!$J$178:$J$182,Effektmåling!$D$178:$D$182,$B34,$AH$120:$AH$124,BE$3))*-AX34,"")</f>
        <v/>
      </c>
      <c r="BF34" s="29" t="str">
        <f>IF((SUMIFS(Effektmåling!$J$178:$J$182,Effektmåling!$D$178:$D$182,$B34,$AH$120:$AH$124,BF$3))&lt;&gt;0,(SUMIFS(Effektmåling!$J$178:$J$182,Effektmåling!$D$178:$D$182,$B34,$AH$120:$AH$124,BF$3))*-AY34,"")</f>
        <v/>
      </c>
      <c r="BH34" s="29" t="str">
        <f>IF((SUMIFS(Effektmåling!$J$163:$J$167,Effektmåling!$D$163:$D$167,$B34,$AO$120:$AO$124,BH$3))&lt;&gt;0,(SUMIFS(Effektmåling!$J$163:$J$167,Effektmåling!$D$163:$D$167,$B34,$AO$120:$AO$124,BH$3))*-AT34,"")</f>
        <v/>
      </c>
      <c r="BI34" s="29" t="str">
        <f>IF((SUMIFS(Effektmåling!$J$163:$J$167,Effektmåling!$D$163:$D$167,$B34,$AO$120:$AO$124,BI$3))&lt;&gt;0,(SUMIFS(Effektmåling!$J$163:$J$167,Effektmåling!$D$163:$D$167,$B34,$AO$120:$AO$124,BI$3))*-AU34,"")</f>
        <v/>
      </c>
      <c r="BJ34" s="29" t="str">
        <f>IF((SUMIFS(Effektmåling!$J$163:$J$167,Effektmåling!$D$163:$D$167,$B34,$AO$120:$AO$124,BJ$3))&lt;&gt;0,(SUMIFS(Effektmåling!$J$163:$J$167,Effektmåling!$D$163:$D$167,$B34,$AO$120:$AO$124,BJ$3))*-AV34,"")</f>
        <v/>
      </c>
      <c r="BK34" s="29" t="str">
        <f>IF((SUMIFS(Effektmåling!$J$163:$J$167,Effektmåling!$D$163:$D$167,$B34,$AO$120:$AO$124,BK$3))&lt;&gt;0,(SUMIFS(Effektmåling!$J$163:$J$167,Effektmåling!$D$163:$D$167,$B34,$AO$120:$AO$124,BK$3))*-AW34,"")</f>
        <v/>
      </c>
      <c r="BL34" s="29" t="str">
        <f>IF((SUMIFS(Effektmåling!$J$163:$J$167,Effektmåling!$D$163:$D$167,$B34,$AO$120:$AO$124,BL$3))&lt;&gt;0,(SUMIFS(Effektmåling!$J$163:$J$167,Effektmåling!$D$163:$D$167,$B34,$AO$120:$AO$124,BL$3))*-AX34,"")</f>
        <v/>
      </c>
      <c r="BM34" s="29" t="str">
        <f>IF((SUMIFS(Effektmåling!$J$163:$J$167,Effektmåling!$D$163:$D$167,$B34,$AO$120:$AO$124,BM$3))&lt;&gt;0,(SUMIFS(Effektmåling!$J$163:$J$167,Effektmåling!$D$163:$D$167,$B34,$AO$120:$AO$124,BM$3))*-AY34,"")</f>
        <v/>
      </c>
      <c r="BO34" s="211">
        <f t="shared" ca="1" si="24"/>
        <v>100000</v>
      </c>
      <c r="BP34" s="207" t="str">
        <f t="shared" si="4"/>
        <v>Sand1</v>
      </c>
      <c r="BQ34" s="29">
        <f t="shared" ca="1" si="25"/>
        <v>0</v>
      </c>
      <c r="BR34" s="29">
        <f t="shared" ca="1" si="14"/>
        <v>100000</v>
      </c>
      <c r="BS34" s="29"/>
      <c r="BT34" s="29"/>
      <c r="BU34" s="29"/>
      <c r="BV34" s="29"/>
      <c r="BW34" s="212"/>
    </row>
    <row r="35" spans="1:75" ht="21" x14ac:dyDescent="0.15">
      <c r="A35" s="19">
        <f t="shared" si="5"/>
        <v>31</v>
      </c>
      <c r="B35" s="19" t="s">
        <v>277</v>
      </c>
      <c r="C35" s="19">
        <v>1</v>
      </c>
      <c r="D35" s="22">
        <v>1.8862000000000001</v>
      </c>
      <c r="E35" s="22">
        <v>1.7000000000000001E-2</v>
      </c>
      <c r="F35" s="22">
        <v>6.2E-2</v>
      </c>
      <c r="G35" s="22">
        <v>1.3955</v>
      </c>
      <c r="H35" s="119">
        <v>0</v>
      </c>
      <c r="I35" s="74">
        <v>0</v>
      </c>
      <c r="J35" s="119">
        <v>0</v>
      </c>
      <c r="K35" s="74">
        <v>0</v>
      </c>
      <c r="L35" s="130">
        <v>2.0391856800363999</v>
      </c>
      <c r="M35" s="74">
        <v>0</v>
      </c>
      <c r="O35" s="142">
        <f t="shared" si="18"/>
        <v>4.4999999999999998E-2</v>
      </c>
      <c r="P35" s="142">
        <f t="shared" si="19"/>
        <v>1.3785000000000001</v>
      </c>
      <c r="Q35" s="142">
        <f t="shared" si="20"/>
        <v>-1.7000000000000001E-2</v>
      </c>
      <c r="R35" s="142">
        <f t="shared" si="21"/>
        <v>1.3334999999999999</v>
      </c>
      <c r="S35" s="142">
        <f t="shared" si="22"/>
        <v>-6.2E-2</v>
      </c>
      <c r="T35" s="142">
        <f t="shared" si="23"/>
        <v>-1.3955</v>
      </c>
      <c r="V35" s="29">
        <f ca="1">SUMIF(Effektmåling!$D$53:$E$57,'DB materialer'!B35,Effektmåling!$H$53:$H$57)</f>
        <v>0</v>
      </c>
      <c r="W35" s="477" t="str">
        <f ca="1">IF((V35*D35)=0,"",IF(Effektmåling!$Q$241="Ja",1.3*(V35*D35),V35*D35))</f>
        <v/>
      </c>
      <c r="X35" s="29" t="str">
        <f ca="1">IF(W35="","",RANK(W35,$W$7:$W$56,0)+COUNTIF($W$7:W35,W35)-1)</f>
        <v/>
      </c>
      <c r="Y35" s="29" t="str">
        <f t="shared" ca="1" si="44"/>
        <v/>
      </c>
      <c r="AA35" s="29">
        <f ca="1">$C$122*SUMIF(Effektmåling!$D$128:$E$132,'DB materialer'!$B35,Effektmåling!$I$128:$I$132)</f>
        <v>0</v>
      </c>
      <c r="AB35" s="477" t="str">
        <f ca="1">IF((AA35*D35)=0,"",IF(Effektmåling!$Q$241="Ja",1.3*(AA35*D35),AA35*D35))</f>
        <v/>
      </c>
      <c r="AC35" s="29" t="str">
        <f ca="1">IF(AB35="","",RANK(AB35,$AB$7:$AB$56,0)+COUNTIF($AB$7:AB35,AB35)-1)</f>
        <v/>
      </c>
      <c r="AD35" s="29">
        <f t="shared" ca="1" si="51"/>
        <v>0</v>
      </c>
      <c r="AE35" s="29"/>
      <c r="AF35" s="29" t="str">
        <f>IF((SUMIFS(Effektmåling!$J$178:$J$182,Effektmåling!$D$178:$D$182,$B35,$AH$120:$AH$124,'DB materialer'!AF$3))&lt;&gt;0,(SUMIFS(Effektmåling!$J$178:$J$182,Effektmåling!$D$178:$D$182,$B35,$AH$120:$AH$124,'DB materialer'!AF$3))*-O35,"")</f>
        <v/>
      </c>
      <c r="AG35" s="29" t="str">
        <f>IF((SUMIFS(Effektmåling!$J$178:$J$182,Effektmåling!$D$178:$D$182,$B35,$AH$120:$AH$124,'DB materialer'!AG$3))&lt;&gt;0,(SUMIFS(Effektmåling!$J$178:$J$182,Effektmåling!$D$178:$D$182,$B35,$AH$120:$AH$124,'DB materialer'!AG$3))*-P35,"")</f>
        <v/>
      </c>
      <c r="AH35" s="29" t="str">
        <f>IF((SUMIFS(Effektmåling!$J$178:$J$182,Effektmåling!$D$178:$D$182,$B35,$AH$120:$AH$124,'DB materialer'!AH$3))&lt;&gt;0,(SUMIFS(Effektmåling!$J$178:$J$182,Effektmåling!$D$178:$D$182,$B35,$AH$120:$AH$124,'DB materialer'!AH$3))*-Q35,"")</f>
        <v/>
      </c>
      <c r="AI35" s="29" t="str">
        <f>IF((SUMIFS(Effektmåling!$J$178:$J$182,Effektmåling!$D$178:$D$182,$B35,$AH$120:$AH$124,'DB materialer'!AI$3))&lt;&gt;0,(SUMIFS(Effektmåling!$J$178:$J$182,Effektmåling!$D$178:$D$182,$B35,$AH$120:$AH$124,'DB materialer'!AI$3))*-R35,"")</f>
        <v/>
      </c>
      <c r="AJ35" s="29" t="str">
        <f>IF((SUMIFS(Effektmåling!$J$178:$J$182,Effektmåling!$D$178:$D$182,$B35,$AH$120:$AH$124,'DB materialer'!AJ$3))&lt;&gt;0,(SUMIFS(Effektmåling!$J$178:$J$182,Effektmåling!$D$178:$D$182,$B35,$AH$120:$AH$124,'DB materialer'!AJ$3))*-S35,"")</f>
        <v/>
      </c>
      <c r="AK35" s="29" t="str">
        <f>IF((SUMIFS(Effektmåling!$J$178:$J$182,Effektmåling!$D$178:$D$182,$B35,$AH$120:$AH$124,'DB materialer'!AK$3))&lt;&gt;0,(SUMIFS(Effektmåling!$J$178:$J$182,Effektmåling!$D$178:$D$182,$B35,$AH$120:$AH$124,'DB materialer'!AK$3))*-T35,"")</f>
        <v/>
      </c>
      <c r="AM35" s="29" t="str">
        <f>IF((SUMIFS(Effektmåling!$J$163:$J$167,Effektmåling!$D$163:$D$167,$B35,$AO$120:$AO$124,'DB materialer'!AM$3))&lt;&gt;0,(SUMIFS(Effektmåling!$J$163:$J$167,Effektmåling!$D$163:$D$167,$B35,$AO$120:$AO$124,'DB materialer'!AM$3))*(-O35)*($C$122),"")</f>
        <v/>
      </c>
      <c r="AN35" s="29" t="str">
        <f>IF((SUMIFS(Effektmåling!$J$163:$J$167,Effektmåling!$D$163:$D$167,$B35,$AO$120:$AO$124,'DB materialer'!AN$3))&lt;&gt;0,(SUMIFS(Effektmåling!$J$163:$J$167,Effektmåling!$D$163:$D$167,$B35,$AO$120:$AO$124,'DB materialer'!AN$3))*(-P35)*($C$122),"")</f>
        <v/>
      </c>
      <c r="AO35" s="29" t="str">
        <f>IF((SUMIFS(Effektmåling!$J$163:$J$167,Effektmåling!$D$163:$D$167,$B35,$AO$120:$AO$124,'DB materialer'!AO$3))&lt;&gt;0,(SUMIFS(Effektmåling!$J$163:$J$167,Effektmåling!$D$163:$D$167,$B35,$AO$120:$AO$124,'DB materialer'!AO$3))*(-Q35)*($C$122),"")</f>
        <v/>
      </c>
      <c r="AP35" s="29" t="str">
        <f>IF((SUMIFS(Effektmåling!$J$163:$J$167,Effektmåling!$D$163:$D$167,$B35,$AO$120:$AO$124,'DB materialer'!AP$3))&lt;&gt;0,(SUMIFS(Effektmåling!$J$163:$J$167,Effektmåling!$D$163:$D$167,$B35,$AO$120:$AO$124,'DB materialer'!AP$3))*(-R35)*($C$122),"")</f>
        <v/>
      </c>
      <c r="AQ35" s="29" t="str">
        <f>IF((SUMIFS(Effektmåling!$J$163:$J$167,Effektmåling!$D$163:$D$167,$B35,$AO$120:$AO$124,'DB materialer'!AQ$3))&lt;&gt;0,(SUMIFS(Effektmåling!$J$163:$J$167,Effektmåling!$D$163:$D$167,$B35,$AO$120:$AO$124,'DB materialer'!AQ$3))*(-S35)*($C$122),"")</f>
        <v/>
      </c>
      <c r="AR35" s="29" t="str">
        <f>IF((SUMIFS(Effektmåling!$J$163:$J$167,Effektmåling!$D$163:$D$167,$B35,$AO$120:$AO$124,'DB materialer'!AR$3))&lt;&gt;0,(SUMIFS(Effektmåling!$J$163:$J$167,Effektmåling!$D$163:$D$167,$B35,$AO$120:$AO$124,'DB materialer'!AR$3))*(-T35)*($C$122),"")</f>
        <v/>
      </c>
      <c r="AT35" s="30">
        <f t="shared" si="45"/>
        <v>1.0000000000000001E-30</v>
      </c>
      <c r="AU35" s="40">
        <f t="shared" si="46"/>
        <v>2.0391856800363999</v>
      </c>
      <c r="AV35" s="41">
        <f t="shared" si="47"/>
        <v>1.0000000000000001E-30</v>
      </c>
      <c r="AW35" s="40">
        <f t="shared" si="48"/>
        <v>2.0391856800363999</v>
      </c>
      <c r="AX35" s="41">
        <f t="shared" si="49"/>
        <v>1.0000000000000001E-30</v>
      </c>
      <c r="AY35" s="41">
        <f t="shared" si="50"/>
        <v>-2.0391856800363999</v>
      </c>
      <c r="BA35" s="29" t="str">
        <f>IF((SUMIFS(Effektmåling!$J$178:$J$182,Effektmåling!$D$178:$D$182,$B35,$AH$120:$AH$124,BA$3))&lt;&gt;0,(SUMIFS(Effektmåling!$J$178:$J$182,Effektmåling!$D$178:$D$182,$B35,$AH$120:$AH$124,BA$3))*-AT35,"")</f>
        <v/>
      </c>
      <c r="BB35" s="29" t="str">
        <f>IF((SUMIFS(Effektmåling!$J$178:$J$182,Effektmåling!$D$178:$D$182,$B35,$AH$120:$AH$124,BB$3))&lt;&gt;0,(SUMIFS(Effektmåling!$J$178:$J$182,Effektmåling!$D$178:$D$182,$B35,$AH$120:$AH$124,BB$3))*-AU35,"")</f>
        <v/>
      </c>
      <c r="BC35" s="29" t="str">
        <f>IF((SUMIFS(Effektmåling!$J$178:$J$182,Effektmåling!$D$178:$D$182,$B35,$AH$120:$AH$124,BC$3))&lt;&gt;0,(SUMIFS(Effektmåling!$J$178:$J$182,Effektmåling!$D$178:$D$182,$B35,$AH$120:$AH$124,BC$3))*-AV35,"")</f>
        <v/>
      </c>
      <c r="BD35" s="29" t="str">
        <f>IF((SUMIFS(Effektmåling!$J$178:$J$182,Effektmåling!$D$178:$D$182,$B35,$AH$120:$AH$124,BD$3))&lt;&gt;0,(SUMIFS(Effektmåling!$J$178:$J$182,Effektmåling!$D$178:$D$182,$B35,$AH$120:$AH$124,BD$3))*-AW35,"")</f>
        <v/>
      </c>
      <c r="BE35" s="29" t="str">
        <f>IF((SUMIFS(Effektmåling!$J$178:$J$182,Effektmåling!$D$178:$D$182,$B35,$AH$120:$AH$124,BE$3))&lt;&gt;0,(SUMIFS(Effektmåling!$J$178:$J$182,Effektmåling!$D$178:$D$182,$B35,$AH$120:$AH$124,BE$3))*-AX35,"")</f>
        <v/>
      </c>
      <c r="BF35" s="29" t="str">
        <f>IF((SUMIFS(Effektmåling!$J$178:$J$182,Effektmåling!$D$178:$D$182,$B35,$AH$120:$AH$124,BF$3))&lt;&gt;0,(SUMIFS(Effektmåling!$J$178:$J$182,Effektmåling!$D$178:$D$182,$B35,$AH$120:$AH$124,BF$3))*-AY35,"")</f>
        <v/>
      </c>
      <c r="BH35" s="29" t="str">
        <f>IF((SUMIFS(Effektmåling!$J$163:$J$167,Effektmåling!$D$163:$D$167,$B35,$AO$120:$AO$124,BH$3))&lt;&gt;0,(SUMIFS(Effektmåling!$J$163:$J$167,Effektmåling!$D$163:$D$167,$B35,$AO$120:$AO$124,BH$3))*-AT35,"")</f>
        <v/>
      </c>
      <c r="BI35" s="29" t="str">
        <f>IF((SUMIFS(Effektmåling!$J$163:$J$167,Effektmåling!$D$163:$D$167,$B35,$AO$120:$AO$124,BI$3))&lt;&gt;0,(SUMIFS(Effektmåling!$J$163:$J$167,Effektmåling!$D$163:$D$167,$B35,$AO$120:$AO$124,BI$3))*-AU35,"")</f>
        <v/>
      </c>
      <c r="BJ35" s="29" t="str">
        <f>IF((SUMIFS(Effektmåling!$J$163:$J$167,Effektmåling!$D$163:$D$167,$B35,$AO$120:$AO$124,BJ$3))&lt;&gt;0,(SUMIFS(Effektmåling!$J$163:$J$167,Effektmåling!$D$163:$D$167,$B35,$AO$120:$AO$124,BJ$3))*-AV35,"")</f>
        <v/>
      </c>
      <c r="BK35" s="29" t="str">
        <f>IF((SUMIFS(Effektmåling!$J$163:$J$167,Effektmåling!$D$163:$D$167,$B35,$AO$120:$AO$124,BK$3))&lt;&gt;0,(SUMIFS(Effektmåling!$J$163:$J$167,Effektmåling!$D$163:$D$167,$B35,$AO$120:$AO$124,BK$3))*-AW35,"")</f>
        <v/>
      </c>
      <c r="BL35" s="29" t="str">
        <f>IF((SUMIFS(Effektmåling!$J$163:$J$167,Effektmåling!$D$163:$D$167,$B35,$AO$120:$AO$124,BL$3))&lt;&gt;0,(SUMIFS(Effektmåling!$J$163:$J$167,Effektmåling!$D$163:$D$167,$B35,$AO$120:$AO$124,BL$3))*-AX35,"")</f>
        <v/>
      </c>
      <c r="BM35" s="29" t="str">
        <f>IF((SUMIFS(Effektmåling!$J$163:$J$167,Effektmåling!$D$163:$D$167,$B35,$AO$120:$AO$124,BM$3))&lt;&gt;0,(SUMIFS(Effektmåling!$J$163:$J$167,Effektmåling!$D$163:$D$167,$B35,$AO$120:$AO$124,BM$3))*-AY35,"")</f>
        <v/>
      </c>
      <c r="BO35" s="211">
        <f t="shared" ca="1" si="24"/>
        <v>100000</v>
      </c>
      <c r="BP35" s="207" t="str">
        <f t="shared" si="4"/>
        <v>Glas, vindues-</v>
      </c>
      <c r="BQ35" s="29">
        <f t="shared" ca="1" si="25"/>
        <v>0</v>
      </c>
      <c r="BR35" s="29">
        <f t="shared" ca="1" si="14"/>
        <v>100000</v>
      </c>
      <c r="BS35" s="29"/>
      <c r="BT35" s="29"/>
      <c r="BU35" s="29"/>
      <c r="BV35" s="29"/>
      <c r="BW35" s="212"/>
    </row>
    <row r="36" spans="1:75" ht="21" x14ac:dyDescent="0.15">
      <c r="A36" s="19">
        <f t="shared" si="5"/>
        <v>32</v>
      </c>
      <c r="B36" s="19" t="s">
        <v>278</v>
      </c>
      <c r="C36" s="19">
        <v>1</v>
      </c>
      <c r="D36" s="22">
        <v>1.8862000000000001</v>
      </c>
      <c r="E36" s="22">
        <v>1.7000000000000001E-2</v>
      </c>
      <c r="F36" s="22">
        <v>6.2E-2</v>
      </c>
      <c r="G36" s="22">
        <v>1.3955</v>
      </c>
      <c r="H36" s="119">
        <v>0</v>
      </c>
      <c r="I36" s="74">
        <v>0</v>
      </c>
      <c r="J36" s="119">
        <v>0</v>
      </c>
      <c r="K36" s="74">
        <v>0</v>
      </c>
      <c r="L36" s="130">
        <v>2.0391856800363999</v>
      </c>
      <c r="M36" s="74">
        <v>0</v>
      </c>
      <c r="O36" s="142">
        <f t="shared" si="18"/>
        <v>4.4999999999999998E-2</v>
      </c>
      <c r="P36" s="142">
        <f t="shared" si="19"/>
        <v>1.3785000000000001</v>
      </c>
      <c r="Q36" s="142">
        <f t="shared" si="20"/>
        <v>-1.7000000000000001E-2</v>
      </c>
      <c r="R36" s="142">
        <f t="shared" si="21"/>
        <v>1.3334999999999999</v>
      </c>
      <c r="S36" s="142">
        <f t="shared" si="22"/>
        <v>-6.2E-2</v>
      </c>
      <c r="T36" s="142">
        <f t="shared" si="23"/>
        <v>-1.3955</v>
      </c>
      <c r="V36" s="29">
        <f ca="1">SUMIF(Effektmåling!$D$53:$E$57,'DB materialer'!B36,Effektmåling!$H$53:$H$57)</f>
        <v>0</v>
      </c>
      <c r="W36" s="477" t="str">
        <f ca="1">IF((V36*D36)=0,"",IF(Effektmåling!$Q$241="Ja",1.3*(V36*D36),V36*D36))</f>
        <v/>
      </c>
      <c r="X36" s="29" t="str">
        <f ca="1">IF(W36="","",RANK(W36,$W$7:$W$56,0)+COUNTIF($W$7:W36,W36)-1)</f>
        <v/>
      </c>
      <c r="Y36" s="29" t="str">
        <f t="shared" ca="1" si="44"/>
        <v/>
      </c>
      <c r="AA36" s="29">
        <f ca="1">$C$122*SUMIF(Effektmåling!$D$128:$E$132,'DB materialer'!$B36,Effektmåling!$I$128:$I$132)</f>
        <v>0</v>
      </c>
      <c r="AB36" s="477" t="str">
        <f ca="1">IF((AA36*D36)=0,"",IF(Effektmåling!$Q$241="Ja",1.3*(AA36*D36),AA36*D36))</f>
        <v/>
      </c>
      <c r="AC36" s="29" t="str">
        <f ca="1">IF(AB36="","",RANK(AB36,$AB$7:$AB$56,0)+COUNTIF($AB$7:AB36,AB36)-1)</f>
        <v/>
      </c>
      <c r="AD36" s="29">
        <f t="shared" ca="1" si="51"/>
        <v>0</v>
      </c>
      <c r="AE36" s="29"/>
      <c r="AF36" s="29" t="str">
        <f>IF((SUMIFS(Effektmåling!$J$178:$J$182,Effektmåling!$D$178:$D$182,$B36,$AH$120:$AH$124,'DB materialer'!AF$3))&lt;&gt;0,(SUMIFS(Effektmåling!$J$178:$J$182,Effektmåling!$D$178:$D$182,$B36,$AH$120:$AH$124,'DB materialer'!AF$3))*-O36,"")</f>
        <v/>
      </c>
      <c r="AG36" s="29" t="str">
        <f>IF((SUMIFS(Effektmåling!$J$178:$J$182,Effektmåling!$D$178:$D$182,$B36,$AH$120:$AH$124,'DB materialer'!AG$3))&lt;&gt;0,(SUMIFS(Effektmåling!$J$178:$J$182,Effektmåling!$D$178:$D$182,$B36,$AH$120:$AH$124,'DB materialer'!AG$3))*-P36,"")</f>
        <v/>
      </c>
      <c r="AH36" s="29" t="str">
        <f>IF((SUMIFS(Effektmåling!$J$178:$J$182,Effektmåling!$D$178:$D$182,$B36,$AH$120:$AH$124,'DB materialer'!AH$3))&lt;&gt;0,(SUMIFS(Effektmåling!$J$178:$J$182,Effektmåling!$D$178:$D$182,$B36,$AH$120:$AH$124,'DB materialer'!AH$3))*-Q36,"")</f>
        <v/>
      </c>
      <c r="AI36" s="29" t="str">
        <f>IF((SUMIFS(Effektmåling!$J$178:$J$182,Effektmåling!$D$178:$D$182,$B36,$AH$120:$AH$124,'DB materialer'!AI$3))&lt;&gt;0,(SUMIFS(Effektmåling!$J$178:$J$182,Effektmåling!$D$178:$D$182,$B36,$AH$120:$AH$124,'DB materialer'!AI$3))*-R36,"")</f>
        <v/>
      </c>
      <c r="AJ36" s="29" t="str">
        <f>IF((SUMIFS(Effektmåling!$J$178:$J$182,Effektmåling!$D$178:$D$182,$B36,$AH$120:$AH$124,'DB materialer'!AJ$3))&lt;&gt;0,(SUMIFS(Effektmåling!$J$178:$J$182,Effektmåling!$D$178:$D$182,$B36,$AH$120:$AH$124,'DB materialer'!AJ$3))*-S36,"")</f>
        <v/>
      </c>
      <c r="AK36" s="29" t="str">
        <f>IF((SUMIFS(Effektmåling!$J$178:$J$182,Effektmåling!$D$178:$D$182,$B36,$AH$120:$AH$124,'DB materialer'!AK$3))&lt;&gt;0,(SUMIFS(Effektmåling!$J$178:$J$182,Effektmåling!$D$178:$D$182,$B36,$AH$120:$AH$124,'DB materialer'!AK$3))*-T36,"")</f>
        <v/>
      </c>
      <c r="AM36" s="29" t="str">
        <f>IF((SUMIFS(Effektmåling!$J$163:$J$167,Effektmåling!$D$163:$D$167,$B36,$AO$120:$AO$124,'DB materialer'!AM$3))&lt;&gt;0,(SUMIFS(Effektmåling!$J$163:$J$167,Effektmåling!$D$163:$D$167,$B36,$AO$120:$AO$124,'DB materialer'!AM$3))*(-O36)*($C$122),"")</f>
        <v/>
      </c>
      <c r="AN36" s="29" t="str">
        <f>IF((SUMIFS(Effektmåling!$J$163:$J$167,Effektmåling!$D$163:$D$167,$B36,$AO$120:$AO$124,'DB materialer'!AN$3))&lt;&gt;0,(SUMIFS(Effektmåling!$J$163:$J$167,Effektmåling!$D$163:$D$167,$B36,$AO$120:$AO$124,'DB materialer'!AN$3))*(-P36)*($C$122),"")</f>
        <v/>
      </c>
      <c r="AO36" s="29" t="str">
        <f>IF((SUMIFS(Effektmåling!$J$163:$J$167,Effektmåling!$D$163:$D$167,$B36,$AO$120:$AO$124,'DB materialer'!AO$3))&lt;&gt;0,(SUMIFS(Effektmåling!$J$163:$J$167,Effektmåling!$D$163:$D$167,$B36,$AO$120:$AO$124,'DB materialer'!AO$3))*(-Q36)*($C$122),"")</f>
        <v/>
      </c>
      <c r="AP36" s="29" t="str">
        <f>IF((SUMIFS(Effektmåling!$J$163:$J$167,Effektmåling!$D$163:$D$167,$B36,$AO$120:$AO$124,'DB materialer'!AP$3))&lt;&gt;0,(SUMIFS(Effektmåling!$J$163:$J$167,Effektmåling!$D$163:$D$167,$B36,$AO$120:$AO$124,'DB materialer'!AP$3))*(-R36)*($C$122),"")</f>
        <v/>
      </c>
      <c r="AQ36" s="29" t="str">
        <f>IF((SUMIFS(Effektmåling!$J$163:$J$167,Effektmåling!$D$163:$D$167,$B36,$AO$120:$AO$124,'DB materialer'!AQ$3))&lt;&gt;0,(SUMIFS(Effektmåling!$J$163:$J$167,Effektmåling!$D$163:$D$167,$B36,$AO$120:$AO$124,'DB materialer'!AQ$3))*(-S36)*($C$122),"")</f>
        <v/>
      </c>
      <c r="AR36" s="29" t="str">
        <f>IF((SUMIFS(Effektmåling!$J$163:$J$167,Effektmåling!$D$163:$D$167,$B36,$AO$120:$AO$124,'DB materialer'!AR$3))&lt;&gt;0,(SUMIFS(Effektmåling!$J$163:$J$167,Effektmåling!$D$163:$D$167,$B36,$AO$120:$AO$124,'DB materialer'!AR$3))*(-T36)*($C$122),"")</f>
        <v/>
      </c>
      <c r="AT36" s="30">
        <f t="shared" si="45"/>
        <v>1.0000000000000001E-30</v>
      </c>
      <c r="AU36" s="40">
        <f t="shared" si="46"/>
        <v>2.0391856800363999</v>
      </c>
      <c r="AV36" s="41">
        <f t="shared" si="47"/>
        <v>1.0000000000000001E-30</v>
      </c>
      <c r="AW36" s="40">
        <f t="shared" si="48"/>
        <v>2.0391856800363999</v>
      </c>
      <c r="AX36" s="41">
        <f t="shared" si="49"/>
        <v>1.0000000000000001E-30</v>
      </c>
      <c r="AY36" s="41">
        <f t="shared" si="50"/>
        <v>-2.0391856800363999</v>
      </c>
      <c r="BA36" s="29" t="str">
        <f>IF((SUMIFS(Effektmåling!$J$178:$J$182,Effektmåling!$D$178:$D$182,$B36,$AH$120:$AH$124,BA$3))&lt;&gt;0,(SUMIFS(Effektmåling!$J$178:$J$182,Effektmåling!$D$178:$D$182,$B36,$AH$120:$AH$124,BA$3))*-AT36,"")</f>
        <v/>
      </c>
      <c r="BB36" s="29" t="str">
        <f>IF((SUMIFS(Effektmåling!$J$178:$J$182,Effektmåling!$D$178:$D$182,$B36,$AH$120:$AH$124,BB$3))&lt;&gt;0,(SUMIFS(Effektmåling!$J$178:$J$182,Effektmåling!$D$178:$D$182,$B36,$AH$120:$AH$124,BB$3))*-AU36,"")</f>
        <v/>
      </c>
      <c r="BC36" s="29" t="str">
        <f>IF((SUMIFS(Effektmåling!$J$178:$J$182,Effektmåling!$D$178:$D$182,$B36,$AH$120:$AH$124,BC$3))&lt;&gt;0,(SUMIFS(Effektmåling!$J$178:$J$182,Effektmåling!$D$178:$D$182,$B36,$AH$120:$AH$124,BC$3))*-AV36,"")</f>
        <v/>
      </c>
      <c r="BD36" s="29" t="str">
        <f>IF((SUMIFS(Effektmåling!$J$178:$J$182,Effektmåling!$D$178:$D$182,$B36,$AH$120:$AH$124,BD$3))&lt;&gt;0,(SUMIFS(Effektmåling!$J$178:$J$182,Effektmåling!$D$178:$D$182,$B36,$AH$120:$AH$124,BD$3))*-AW36,"")</f>
        <v/>
      </c>
      <c r="BE36" s="29" t="str">
        <f>IF((SUMIFS(Effektmåling!$J$178:$J$182,Effektmåling!$D$178:$D$182,$B36,$AH$120:$AH$124,BE$3))&lt;&gt;0,(SUMIFS(Effektmåling!$J$178:$J$182,Effektmåling!$D$178:$D$182,$B36,$AH$120:$AH$124,BE$3))*-AX36,"")</f>
        <v/>
      </c>
      <c r="BF36" s="29" t="str">
        <f>IF((SUMIFS(Effektmåling!$J$178:$J$182,Effektmåling!$D$178:$D$182,$B36,$AH$120:$AH$124,BF$3))&lt;&gt;0,(SUMIFS(Effektmåling!$J$178:$J$182,Effektmåling!$D$178:$D$182,$B36,$AH$120:$AH$124,BF$3))*-AY36,"")</f>
        <v/>
      </c>
      <c r="BH36" s="29" t="str">
        <f>IF((SUMIFS(Effektmåling!$J$163:$J$167,Effektmåling!$D$163:$D$167,$B36,$AO$120:$AO$124,BH$3))&lt;&gt;0,(SUMIFS(Effektmåling!$J$163:$J$167,Effektmåling!$D$163:$D$167,$B36,$AO$120:$AO$124,BH$3))*-AT36,"")</f>
        <v/>
      </c>
      <c r="BI36" s="29" t="str">
        <f>IF((SUMIFS(Effektmåling!$J$163:$J$167,Effektmåling!$D$163:$D$167,$B36,$AO$120:$AO$124,BI$3))&lt;&gt;0,(SUMIFS(Effektmåling!$J$163:$J$167,Effektmåling!$D$163:$D$167,$B36,$AO$120:$AO$124,BI$3))*-AU36,"")</f>
        <v/>
      </c>
      <c r="BJ36" s="29" t="str">
        <f>IF((SUMIFS(Effektmåling!$J$163:$J$167,Effektmåling!$D$163:$D$167,$B36,$AO$120:$AO$124,BJ$3))&lt;&gt;0,(SUMIFS(Effektmåling!$J$163:$J$167,Effektmåling!$D$163:$D$167,$B36,$AO$120:$AO$124,BJ$3))*-AV36,"")</f>
        <v/>
      </c>
      <c r="BK36" s="29" t="str">
        <f>IF((SUMIFS(Effektmåling!$J$163:$J$167,Effektmåling!$D$163:$D$167,$B36,$AO$120:$AO$124,BK$3))&lt;&gt;0,(SUMIFS(Effektmåling!$J$163:$J$167,Effektmåling!$D$163:$D$167,$B36,$AO$120:$AO$124,BK$3))*-AW36,"")</f>
        <v/>
      </c>
      <c r="BL36" s="29" t="str">
        <f>IF((SUMIFS(Effektmåling!$J$163:$J$167,Effektmåling!$D$163:$D$167,$B36,$AO$120:$AO$124,BL$3))&lt;&gt;0,(SUMIFS(Effektmåling!$J$163:$J$167,Effektmåling!$D$163:$D$167,$B36,$AO$120:$AO$124,BL$3))*-AX36,"")</f>
        <v/>
      </c>
      <c r="BM36" s="29" t="str">
        <f>IF((SUMIFS(Effektmåling!$J$163:$J$167,Effektmåling!$D$163:$D$167,$B36,$AO$120:$AO$124,BM$3))&lt;&gt;0,(SUMIFS(Effektmåling!$J$163:$J$167,Effektmåling!$D$163:$D$167,$B36,$AO$120:$AO$124,BM$3))*-AY36,"")</f>
        <v/>
      </c>
      <c r="BO36" s="211">
        <f t="shared" ca="1" si="24"/>
        <v>100000</v>
      </c>
      <c r="BP36" s="207" t="str">
        <f t="shared" si="4"/>
        <v>Glas, emballage-</v>
      </c>
      <c r="BQ36" s="29">
        <f t="shared" ca="1" si="25"/>
        <v>0</v>
      </c>
      <c r="BR36" s="29">
        <f t="shared" ca="1" si="14"/>
        <v>100000</v>
      </c>
      <c r="BS36" s="29"/>
      <c r="BT36" s="29"/>
      <c r="BU36" s="29"/>
      <c r="BV36" s="29"/>
      <c r="BW36" s="212"/>
    </row>
    <row r="37" spans="1:75" x14ac:dyDescent="0.15">
      <c r="A37" s="19">
        <f t="shared" si="5"/>
        <v>33</v>
      </c>
      <c r="B37" s="19" t="s">
        <v>279</v>
      </c>
      <c r="C37" s="19">
        <v>1</v>
      </c>
      <c r="D37" s="22">
        <v>0.24429999999999999</v>
      </c>
      <c r="E37" s="99">
        <v>1.4177999999999999</v>
      </c>
      <c r="F37" s="101">
        <v>3.6458333333333329E-2</v>
      </c>
      <c r="G37" s="22">
        <v>1.8709</v>
      </c>
      <c r="H37" s="119">
        <v>0</v>
      </c>
      <c r="I37" s="74">
        <v>0</v>
      </c>
      <c r="J37" s="119">
        <v>0</v>
      </c>
      <c r="K37" s="74">
        <v>0</v>
      </c>
      <c r="L37" s="130">
        <v>2.7338677812827665</v>
      </c>
      <c r="M37" s="74">
        <v>0</v>
      </c>
      <c r="O37" s="142">
        <f t="shared" si="18"/>
        <v>-1.3813416666666667</v>
      </c>
      <c r="P37" s="142">
        <f t="shared" si="19"/>
        <v>0.45310000000000006</v>
      </c>
      <c r="Q37" s="142">
        <f t="shared" si="20"/>
        <v>-1.4177999999999999</v>
      </c>
      <c r="R37" s="142">
        <f t="shared" si="21"/>
        <v>1.8344416666666667</v>
      </c>
      <c r="S37" s="142">
        <f t="shared" si="22"/>
        <v>-3.6458333333333329E-2</v>
      </c>
      <c r="T37" s="142">
        <f t="shared" si="23"/>
        <v>-1.8709</v>
      </c>
      <c r="V37" s="29">
        <f ca="1">SUMIF(Effektmåling!$D$53:$E$57,'DB materialer'!B37,Effektmåling!$H$53:$H$57)</f>
        <v>0</v>
      </c>
      <c r="W37" s="477" t="str">
        <f ca="1">IF((V37*D37)=0,"",IF(Effektmåling!$Q$241="Ja",1.3*(V37*D37),V37*D37))</f>
        <v/>
      </c>
      <c r="X37" s="29" t="str">
        <f ca="1">IF(W37="","",RANK(W37,$W$7:$W$56,0)+COUNTIF($W$7:W37,W37)-1)</f>
        <v/>
      </c>
      <c r="Y37" s="29" t="str">
        <f t="shared" ca="1" si="44"/>
        <v/>
      </c>
      <c r="AA37" s="29">
        <f ca="1">$C$122*SUMIF(Effektmåling!$D$128:$E$132,'DB materialer'!$B37,Effektmåling!$I$128:$I$132)</f>
        <v>0</v>
      </c>
      <c r="AB37" s="477" t="str">
        <f ca="1">IF((AA37*D37)=0,"",IF(Effektmåling!$Q$241="Ja",1.3*(AA37*D37),AA37*D37))</f>
        <v/>
      </c>
      <c r="AC37" s="29" t="str">
        <f ca="1">IF(AB37="","",RANK(AB37,$AB$7:$AB$56,0)+COUNTIF($AB$7:AB37,AB37)-1)</f>
        <v/>
      </c>
      <c r="AD37" s="29">
        <f t="shared" ca="1" si="51"/>
        <v>0</v>
      </c>
      <c r="AE37" s="29"/>
      <c r="AF37" s="29" t="str">
        <f>IF((SUMIFS(Effektmåling!$J$178:$J$182,Effektmåling!$D$178:$D$182,$B37,$AH$120:$AH$124,'DB materialer'!AF$3))&lt;&gt;0,(SUMIFS(Effektmåling!$J$178:$J$182,Effektmåling!$D$178:$D$182,$B37,$AH$120:$AH$124,'DB materialer'!AF$3))*-O37,"")</f>
        <v/>
      </c>
      <c r="AG37" s="29" t="str">
        <f>IF((SUMIFS(Effektmåling!$J$178:$J$182,Effektmåling!$D$178:$D$182,$B37,$AH$120:$AH$124,'DB materialer'!AG$3))&lt;&gt;0,(SUMIFS(Effektmåling!$J$178:$J$182,Effektmåling!$D$178:$D$182,$B37,$AH$120:$AH$124,'DB materialer'!AG$3))*-P37,"")</f>
        <v/>
      </c>
      <c r="AH37" s="29" t="str">
        <f>IF((SUMIFS(Effektmåling!$J$178:$J$182,Effektmåling!$D$178:$D$182,$B37,$AH$120:$AH$124,'DB materialer'!AH$3))&lt;&gt;0,(SUMIFS(Effektmåling!$J$178:$J$182,Effektmåling!$D$178:$D$182,$B37,$AH$120:$AH$124,'DB materialer'!AH$3))*-Q37,"")</f>
        <v/>
      </c>
      <c r="AI37" s="29" t="str">
        <f>IF((SUMIFS(Effektmåling!$J$178:$J$182,Effektmåling!$D$178:$D$182,$B37,$AH$120:$AH$124,'DB materialer'!AI$3))&lt;&gt;0,(SUMIFS(Effektmåling!$J$178:$J$182,Effektmåling!$D$178:$D$182,$B37,$AH$120:$AH$124,'DB materialer'!AI$3))*-R37,"")</f>
        <v/>
      </c>
      <c r="AJ37" s="29" t="str">
        <f>IF((SUMIFS(Effektmåling!$J$178:$J$182,Effektmåling!$D$178:$D$182,$B37,$AH$120:$AH$124,'DB materialer'!AJ$3))&lt;&gt;0,(SUMIFS(Effektmåling!$J$178:$J$182,Effektmåling!$D$178:$D$182,$B37,$AH$120:$AH$124,'DB materialer'!AJ$3))*-S37,"")</f>
        <v/>
      </c>
      <c r="AK37" s="29" t="str">
        <f>IF((SUMIFS(Effektmåling!$J$178:$J$182,Effektmåling!$D$178:$D$182,$B37,$AH$120:$AH$124,'DB materialer'!AK$3))&lt;&gt;0,(SUMIFS(Effektmåling!$J$178:$J$182,Effektmåling!$D$178:$D$182,$B37,$AH$120:$AH$124,'DB materialer'!AK$3))*-T37,"")</f>
        <v/>
      </c>
      <c r="AM37" s="29" t="str">
        <f>IF((SUMIFS(Effektmåling!$J$163:$J$167,Effektmåling!$D$163:$D$167,$B37,$AO$120:$AO$124,'DB materialer'!AM$3))&lt;&gt;0,(SUMIFS(Effektmåling!$J$163:$J$167,Effektmåling!$D$163:$D$167,$B37,$AO$120:$AO$124,'DB materialer'!AM$3))*(-O37)*($C$122),"")</f>
        <v/>
      </c>
      <c r="AN37" s="29" t="str">
        <f>IF((SUMIFS(Effektmåling!$J$163:$J$167,Effektmåling!$D$163:$D$167,$B37,$AO$120:$AO$124,'DB materialer'!AN$3))&lt;&gt;0,(SUMIFS(Effektmåling!$J$163:$J$167,Effektmåling!$D$163:$D$167,$B37,$AO$120:$AO$124,'DB materialer'!AN$3))*(-P37)*($C$122),"")</f>
        <v/>
      </c>
      <c r="AO37" s="29" t="str">
        <f>IF((SUMIFS(Effektmåling!$J$163:$J$167,Effektmåling!$D$163:$D$167,$B37,$AO$120:$AO$124,'DB materialer'!AO$3))&lt;&gt;0,(SUMIFS(Effektmåling!$J$163:$J$167,Effektmåling!$D$163:$D$167,$B37,$AO$120:$AO$124,'DB materialer'!AO$3))*(-Q37)*($C$122),"")</f>
        <v/>
      </c>
      <c r="AP37" s="29" t="str">
        <f>IF((SUMIFS(Effektmåling!$J$163:$J$167,Effektmåling!$D$163:$D$167,$B37,$AO$120:$AO$124,'DB materialer'!AP$3))&lt;&gt;0,(SUMIFS(Effektmåling!$J$163:$J$167,Effektmåling!$D$163:$D$167,$B37,$AO$120:$AO$124,'DB materialer'!AP$3))*(-R37)*($C$122),"")</f>
        <v/>
      </c>
      <c r="AQ37" s="29" t="str">
        <f>IF((SUMIFS(Effektmåling!$J$163:$J$167,Effektmåling!$D$163:$D$167,$B37,$AO$120:$AO$124,'DB materialer'!AQ$3))&lt;&gt;0,(SUMIFS(Effektmåling!$J$163:$J$167,Effektmåling!$D$163:$D$167,$B37,$AO$120:$AO$124,'DB materialer'!AQ$3))*(-S37)*($C$122),"")</f>
        <v/>
      </c>
      <c r="AR37" s="29" t="str">
        <f>IF((SUMIFS(Effektmåling!$J$163:$J$167,Effektmåling!$D$163:$D$167,$B37,$AO$120:$AO$124,'DB materialer'!AR$3))&lt;&gt;0,(SUMIFS(Effektmåling!$J$163:$J$167,Effektmåling!$D$163:$D$167,$B37,$AO$120:$AO$124,'DB materialer'!AR$3))*(-T37)*($C$122),"")</f>
        <v/>
      </c>
      <c r="AT37" s="30">
        <f t="shared" si="45"/>
        <v>1.0000000000000001E-30</v>
      </c>
      <c r="AU37" s="40">
        <f t="shared" si="46"/>
        <v>2.7338677812827665</v>
      </c>
      <c r="AV37" s="41">
        <f t="shared" si="47"/>
        <v>1.0000000000000001E-30</v>
      </c>
      <c r="AW37" s="40">
        <f t="shared" si="48"/>
        <v>2.7338677812827665</v>
      </c>
      <c r="AX37" s="41">
        <f t="shared" si="49"/>
        <v>1.0000000000000001E-30</v>
      </c>
      <c r="AY37" s="41">
        <f t="shared" si="50"/>
        <v>-2.7338677812827665</v>
      </c>
      <c r="BA37" s="29" t="str">
        <f>IF((SUMIFS(Effektmåling!$J$178:$J$182,Effektmåling!$D$178:$D$182,$B37,$AH$120:$AH$124,BA$3))&lt;&gt;0,(SUMIFS(Effektmåling!$J$178:$J$182,Effektmåling!$D$178:$D$182,$B37,$AH$120:$AH$124,BA$3))*-AT37,"")</f>
        <v/>
      </c>
      <c r="BB37" s="29" t="str">
        <f>IF((SUMIFS(Effektmåling!$J$178:$J$182,Effektmåling!$D$178:$D$182,$B37,$AH$120:$AH$124,BB$3))&lt;&gt;0,(SUMIFS(Effektmåling!$J$178:$J$182,Effektmåling!$D$178:$D$182,$B37,$AH$120:$AH$124,BB$3))*-AU37,"")</f>
        <v/>
      </c>
      <c r="BC37" s="29" t="str">
        <f>IF((SUMIFS(Effektmåling!$J$178:$J$182,Effektmåling!$D$178:$D$182,$B37,$AH$120:$AH$124,BC$3))&lt;&gt;0,(SUMIFS(Effektmåling!$J$178:$J$182,Effektmåling!$D$178:$D$182,$B37,$AH$120:$AH$124,BC$3))*-AV37,"")</f>
        <v/>
      </c>
      <c r="BD37" s="29" t="str">
        <f>IF((SUMIFS(Effektmåling!$J$178:$J$182,Effektmåling!$D$178:$D$182,$B37,$AH$120:$AH$124,BD$3))&lt;&gt;0,(SUMIFS(Effektmåling!$J$178:$J$182,Effektmåling!$D$178:$D$182,$B37,$AH$120:$AH$124,BD$3))*-AW37,"")</f>
        <v/>
      </c>
      <c r="BE37" s="29" t="str">
        <f>IF((SUMIFS(Effektmåling!$J$178:$J$182,Effektmåling!$D$178:$D$182,$B37,$AH$120:$AH$124,BE$3))&lt;&gt;0,(SUMIFS(Effektmåling!$J$178:$J$182,Effektmåling!$D$178:$D$182,$B37,$AH$120:$AH$124,BE$3))*-AX37,"")</f>
        <v/>
      </c>
      <c r="BF37" s="29" t="str">
        <f>IF((SUMIFS(Effektmåling!$J$178:$J$182,Effektmåling!$D$178:$D$182,$B37,$AH$120:$AH$124,BF$3))&lt;&gt;0,(SUMIFS(Effektmåling!$J$178:$J$182,Effektmåling!$D$178:$D$182,$B37,$AH$120:$AH$124,BF$3))*-AY37,"")</f>
        <v/>
      </c>
      <c r="BH37" s="29" t="str">
        <f>IF((SUMIFS(Effektmåling!$J$163:$J$167,Effektmåling!$D$163:$D$167,$B37,$AO$120:$AO$124,BH$3))&lt;&gt;0,(SUMIFS(Effektmåling!$J$163:$J$167,Effektmåling!$D$163:$D$167,$B37,$AO$120:$AO$124,BH$3))*-AT37,"")</f>
        <v/>
      </c>
      <c r="BI37" s="29" t="str">
        <f>IF((SUMIFS(Effektmåling!$J$163:$J$167,Effektmåling!$D$163:$D$167,$B37,$AO$120:$AO$124,BI$3))&lt;&gt;0,(SUMIFS(Effektmåling!$J$163:$J$167,Effektmåling!$D$163:$D$167,$B37,$AO$120:$AO$124,BI$3))*-AU37,"")</f>
        <v/>
      </c>
      <c r="BJ37" s="29" t="str">
        <f>IF((SUMIFS(Effektmåling!$J$163:$J$167,Effektmåling!$D$163:$D$167,$B37,$AO$120:$AO$124,BJ$3))&lt;&gt;0,(SUMIFS(Effektmåling!$J$163:$J$167,Effektmåling!$D$163:$D$167,$B37,$AO$120:$AO$124,BJ$3))*-AV37,"")</f>
        <v/>
      </c>
      <c r="BK37" s="29" t="str">
        <f>IF((SUMIFS(Effektmåling!$J$163:$J$167,Effektmåling!$D$163:$D$167,$B37,$AO$120:$AO$124,BK$3))&lt;&gt;0,(SUMIFS(Effektmåling!$J$163:$J$167,Effektmåling!$D$163:$D$167,$B37,$AO$120:$AO$124,BK$3))*-AW37,"")</f>
        <v/>
      </c>
      <c r="BL37" s="29" t="str">
        <f>IF((SUMIFS(Effektmåling!$J$163:$J$167,Effektmåling!$D$163:$D$167,$B37,$AO$120:$AO$124,BL$3))&lt;&gt;0,(SUMIFS(Effektmåling!$J$163:$J$167,Effektmåling!$D$163:$D$167,$B37,$AO$120:$AO$124,BL$3))*-AX37,"")</f>
        <v/>
      </c>
      <c r="BM37" s="29" t="str">
        <f>IF((SUMIFS(Effektmåling!$J$163:$J$167,Effektmåling!$D$163:$D$167,$B37,$AO$120:$AO$124,BM$3))&lt;&gt;0,(SUMIFS(Effektmåling!$J$163:$J$167,Effektmåling!$D$163:$D$167,$B37,$AO$120:$AO$124,BM$3))*-AY37,"")</f>
        <v/>
      </c>
      <c r="BO37" s="211">
        <f t="shared" ca="1" si="24"/>
        <v>100000</v>
      </c>
      <c r="BP37" s="207" t="str">
        <f t="shared" ref="BP37:BP56" si="52">B37</f>
        <v>Træ</v>
      </c>
      <c r="BQ37" s="29">
        <f t="shared" ca="1" si="25"/>
        <v>0</v>
      </c>
      <c r="BR37" s="29">
        <f t="shared" ca="1" si="14"/>
        <v>100000</v>
      </c>
      <c r="BS37" s="29"/>
      <c r="BT37" s="29"/>
      <c r="BU37" s="29"/>
      <c r="BV37" s="29"/>
      <c r="BW37" s="212"/>
    </row>
    <row r="38" spans="1:75" ht="21" x14ac:dyDescent="0.15">
      <c r="A38" s="19">
        <f t="shared" si="5"/>
        <v>34</v>
      </c>
      <c r="B38" s="19" t="s">
        <v>280</v>
      </c>
      <c r="C38" s="19">
        <v>1</v>
      </c>
      <c r="D38" s="22">
        <v>0.47170000000000001</v>
      </c>
      <c r="E38" s="22">
        <v>0.02</v>
      </c>
      <c r="F38" s="22">
        <v>6.2E-2</v>
      </c>
      <c r="G38" s="22">
        <v>5.0000000000000001E-4</v>
      </c>
      <c r="H38" s="119">
        <v>0</v>
      </c>
      <c r="I38" s="74">
        <v>0</v>
      </c>
      <c r="J38" s="119">
        <v>0</v>
      </c>
      <c r="K38" s="74">
        <v>0</v>
      </c>
      <c r="L38" s="130">
        <v>7.3062905053256902E-4</v>
      </c>
      <c r="M38" s="74">
        <v>0</v>
      </c>
      <c r="O38" s="142">
        <f t="shared" si="18"/>
        <v>4.1999999999999996E-2</v>
      </c>
      <c r="P38" s="142">
        <f t="shared" si="19"/>
        <v>-1.95E-2</v>
      </c>
      <c r="Q38" s="142">
        <f t="shared" si="20"/>
        <v>-0.02</v>
      </c>
      <c r="R38" s="142">
        <f t="shared" si="21"/>
        <v>-6.1499999999999999E-2</v>
      </c>
      <c r="S38" s="142">
        <f t="shared" si="22"/>
        <v>-6.2E-2</v>
      </c>
      <c r="T38" s="142">
        <f t="shared" si="23"/>
        <v>-5.0000000000000001E-4</v>
      </c>
      <c r="V38" s="29">
        <f ca="1">SUMIF(Effektmåling!$D$53:$E$57,'DB materialer'!B38,Effektmåling!$H$53:$H$57)</f>
        <v>0</v>
      </c>
      <c r="W38" s="477" t="str">
        <f ca="1">IF((V38*D38)=0,"",IF(Effektmåling!$Q$241="Ja",1.3*(V38*D38),V38*D38))</f>
        <v/>
      </c>
      <c r="X38" s="29" t="str">
        <f ca="1">IF(W38="","",RANK(W38,$W$7:$W$56,0)+COUNTIF($W$7:W38,W38)-1)</f>
        <v/>
      </c>
      <c r="Y38" s="29" t="str">
        <f t="shared" ca="1" si="44"/>
        <v/>
      </c>
      <c r="AA38" s="29">
        <f ca="1">$C$122*SUMIF(Effektmåling!$D$128:$E$132,'DB materialer'!$B38,Effektmåling!$I$128:$I$132)</f>
        <v>0</v>
      </c>
      <c r="AB38" s="477" t="str">
        <f ca="1">IF((AA38*D38)=0,"",IF(Effektmåling!$Q$241="Ja",1.3*(AA38*D38),AA38*D38))</f>
        <v/>
      </c>
      <c r="AC38" s="29" t="str">
        <f ca="1">IF(AB38="","",RANK(AB38,$AB$7:$AB$56,0)+COUNTIF($AB$7:AB38,AB38)-1)</f>
        <v/>
      </c>
      <c r="AD38" s="29">
        <f t="shared" ca="1" si="51"/>
        <v>0</v>
      </c>
      <c r="AE38" s="29"/>
      <c r="AF38" s="29" t="str">
        <f>IF((SUMIFS(Effektmåling!$J$178:$J$182,Effektmåling!$D$178:$D$182,$B38,$AH$120:$AH$124,'DB materialer'!AF$3))&lt;&gt;0,(SUMIFS(Effektmåling!$J$178:$J$182,Effektmåling!$D$178:$D$182,$B38,$AH$120:$AH$124,'DB materialer'!AF$3))*-O38,"")</f>
        <v/>
      </c>
      <c r="AG38" s="29" t="str">
        <f>IF((SUMIFS(Effektmåling!$J$178:$J$182,Effektmåling!$D$178:$D$182,$B38,$AH$120:$AH$124,'DB materialer'!AG$3))&lt;&gt;0,(SUMIFS(Effektmåling!$J$178:$J$182,Effektmåling!$D$178:$D$182,$B38,$AH$120:$AH$124,'DB materialer'!AG$3))*-P38,"")</f>
        <v/>
      </c>
      <c r="AH38" s="29" t="str">
        <f>IF((SUMIFS(Effektmåling!$J$178:$J$182,Effektmåling!$D$178:$D$182,$B38,$AH$120:$AH$124,'DB materialer'!AH$3))&lt;&gt;0,(SUMIFS(Effektmåling!$J$178:$J$182,Effektmåling!$D$178:$D$182,$B38,$AH$120:$AH$124,'DB materialer'!AH$3))*-Q38,"")</f>
        <v/>
      </c>
      <c r="AI38" s="29" t="str">
        <f>IF((SUMIFS(Effektmåling!$J$178:$J$182,Effektmåling!$D$178:$D$182,$B38,$AH$120:$AH$124,'DB materialer'!AI$3))&lt;&gt;0,(SUMIFS(Effektmåling!$J$178:$J$182,Effektmåling!$D$178:$D$182,$B38,$AH$120:$AH$124,'DB materialer'!AI$3))*-R38,"")</f>
        <v/>
      </c>
      <c r="AJ38" s="29" t="str">
        <f>IF((SUMIFS(Effektmåling!$J$178:$J$182,Effektmåling!$D$178:$D$182,$B38,$AH$120:$AH$124,'DB materialer'!AJ$3))&lt;&gt;0,(SUMIFS(Effektmåling!$J$178:$J$182,Effektmåling!$D$178:$D$182,$B38,$AH$120:$AH$124,'DB materialer'!AJ$3))*-S38,"")</f>
        <v/>
      </c>
      <c r="AK38" s="29" t="str">
        <f>IF((SUMIFS(Effektmåling!$J$178:$J$182,Effektmåling!$D$178:$D$182,$B38,$AH$120:$AH$124,'DB materialer'!AK$3))&lt;&gt;0,(SUMIFS(Effektmåling!$J$178:$J$182,Effektmåling!$D$178:$D$182,$B38,$AH$120:$AH$124,'DB materialer'!AK$3))*-T38,"")</f>
        <v/>
      </c>
      <c r="AM38" s="29" t="str">
        <f>IF((SUMIFS(Effektmåling!$J$163:$J$167,Effektmåling!$D$163:$D$167,$B38,$AO$120:$AO$124,'DB materialer'!AM$3))&lt;&gt;0,(SUMIFS(Effektmåling!$J$163:$J$167,Effektmåling!$D$163:$D$167,$B38,$AO$120:$AO$124,'DB materialer'!AM$3))*(-O38)*($C$122),"")</f>
        <v/>
      </c>
      <c r="AN38" s="29" t="str">
        <f>IF((SUMIFS(Effektmåling!$J$163:$J$167,Effektmåling!$D$163:$D$167,$B38,$AO$120:$AO$124,'DB materialer'!AN$3))&lt;&gt;0,(SUMIFS(Effektmåling!$J$163:$J$167,Effektmåling!$D$163:$D$167,$B38,$AO$120:$AO$124,'DB materialer'!AN$3))*(-P38)*($C$122),"")</f>
        <v/>
      </c>
      <c r="AO38" s="29" t="str">
        <f>IF((SUMIFS(Effektmåling!$J$163:$J$167,Effektmåling!$D$163:$D$167,$B38,$AO$120:$AO$124,'DB materialer'!AO$3))&lt;&gt;0,(SUMIFS(Effektmåling!$J$163:$J$167,Effektmåling!$D$163:$D$167,$B38,$AO$120:$AO$124,'DB materialer'!AO$3))*(-Q38)*($C$122),"")</f>
        <v/>
      </c>
      <c r="AP38" s="29" t="str">
        <f>IF((SUMIFS(Effektmåling!$J$163:$J$167,Effektmåling!$D$163:$D$167,$B38,$AO$120:$AO$124,'DB materialer'!AP$3))&lt;&gt;0,(SUMIFS(Effektmåling!$J$163:$J$167,Effektmåling!$D$163:$D$167,$B38,$AO$120:$AO$124,'DB materialer'!AP$3))*(-R38)*($C$122),"")</f>
        <v/>
      </c>
      <c r="AQ38" s="29" t="str">
        <f>IF((SUMIFS(Effektmåling!$J$163:$J$167,Effektmåling!$D$163:$D$167,$B38,$AO$120:$AO$124,'DB materialer'!AQ$3))&lt;&gt;0,(SUMIFS(Effektmåling!$J$163:$J$167,Effektmåling!$D$163:$D$167,$B38,$AO$120:$AO$124,'DB materialer'!AQ$3))*(-S38)*($C$122),"")</f>
        <v/>
      </c>
      <c r="AR38" s="29" t="str">
        <f>IF((SUMIFS(Effektmåling!$J$163:$J$167,Effektmåling!$D$163:$D$167,$B38,$AO$120:$AO$124,'DB materialer'!AR$3))&lt;&gt;0,(SUMIFS(Effektmåling!$J$163:$J$167,Effektmåling!$D$163:$D$167,$B38,$AO$120:$AO$124,'DB materialer'!AR$3))*(-T38)*($C$122),"")</f>
        <v/>
      </c>
      <c r="AT38" s="30">
        <f t="shared" si="45"/>
        <v>1.0000000000000001E-30</v>
      </c>
      <c r="AU38" s="40">
        <f t="shared" si="46"/>
        <v>7.3062905053256902E-4</v>
      </c>
      <c r="AV38" s="41">
        <f t="shared" si="47"/>
        <v>1.0000000000000001E-30</v>
      </c>
      <c r="AW38" s="40">
        <f t="shared" si="48"/>
        <v>7.3062905053256902E-4</v>
      </c>
      <c r="AX38" s="41">
        <f t="shared" si="49"/>
        <v>1.0000000000000001E-30</v>
      </c>
      <c r="AY38" s="41">
        <f t="shared" si="50"/>
        <v>-7.3062905053256902E-4</v>
      </c>
      <c r="BA38" s="29" t="str">
        <f>IF((SUMIFS(Effektmåling!$J$178:$J$182,Effektmåling!$D$178:$D$182,$B38,$AH$120:$AH$124,BA$3))&lt;&gt;0,(SUMIFS(Effektmåling!$J$178:$J$182,Effektmåling!$D$178:$D$182,$B38,$AH$120:$AH$124,BA$3))*-AT38,"")</f>
        <v/>
      </c>
      <c r="BB38" s="29" t="str">
        <f>IF((SUMIFS(Effektmåling!$J$178:$J$182,Effektmåling!$D$178:$D$182,$B38,$AH$120:$AH$124,BB$3))&lt;&gt;0,(SUMIFS(Effektmåling!$J$178:$J$182,Effektmåling!$D$178:$D$182,$B38,$AH$120:$AH$124,BB$3))*-AU38,"")</f>
        <v/>
      </c>
      <c r="BC38" s="29" t="str">
        <f>IF((SUMIFS(Effektmåling!$J$178:$J$182,Effektmåling!$D$178:$D$182,$B38,$AH$120:$AH$124,BC$3))&lt;&gt;0,(SUMIFS(Effektmåling!$J$178:$J$182,Effektmåling!$D$178:$D$182,$B38,$AH$120:$AH$124,BC$3))*-AV38,"")</f>
        <v/>
      </c>
      <c r="BD38" s="29" t="str">
        <f>IF((SUMIFS(Effektmåling!$J$178:$J$182,Effektmåling!$D$178:$D$182,$B38,$AH$120:$AH$124,BD$3))&lt;&gt;0,(SUMIFS(Effektmåling!$J$178:$J$182,Effektmåling!$D$178:$D$182,$B38,$AH$120:$AH$124,BD$3))*-AW38,"")</f>
        <v/>
      </c>
      <c r="BE38" s="29" t="str">
        <f>IF((SUMIFS(Effektmåling!$J$178:$J$182,Effektmåling!$D$178:$D$182,$B38,$AH$120:$AH$124,BE$3))&lt;&gt;0,(SUMIFS(Effektmåling!$J$178:$J$182,Effektmåling!$D$178:$D$182,$B38,$AH$120:$AH$124,BE$3))*-AX38,"")</f>
        <v/>
      </c>
      <c r="BF38" s="29" t="str">
        <f>IF((SUMIFS(Effektmåling!$J$178:$J$182,Effektmåling!$D$178:$D$182,$B38,$AH$120:$AH$124,BF$3))&lt;&gt;0,(SUMIFS(Effektmåling!$J$178:$J$182,Effektmåling!$D$178:$D$182,$B38,$AH$120:$AH$124,BF$3))*-AY38,"")</f>
        <v/>
      </c>
      <c r="BH38" s="29" t="str">
        <f>IF((SUMIFS(Effektmåling!$J$163:$J$167,Effektmåling!$D$163:$D$167,$B38,$AO$120:$AO$124,BH$3))&lt;&gt;0,(SUMIFS(Effektmåling!$J$163:$J$167,Effektmåling!$D$163:$D$167,$B38,$AO$120:$AO$124,BH$3))*-AT38,"")</f>
        <v/>
      </c>
      <c r="BI38" s="29" t="str">
        <f>IF((SUMIFS(Effektmåling!$J$163:$J$167,Effektmåling!$D$163:$D$167,$B38,$AO$120:$AO$124,BI$3))&lt;&gt;0,(SUMIFS(Effektmåling!$J$163:$J$167,Effektmåling!$D$163:$D$167,$B38,$AO$120:$AO$124,BI$3))*-AU38,"")</f>
        <v/>
      </c>
      <c r="BJ38" s="29" t="str">
        <f>IF((SUMIFS(Effektmåling!$J$163:$J$167,Effektmåling!$D$163:$D$167,$B38,$AO$120:$AO$124,BJ$3))&lt;&gt;0,(SUMIFS(Effektmåling!$J$163:$J$167,Effektmåling!$D$163:$D$167,$B38,$AO$120:$AO$124,BJ$3))*-AV38,"")</f>
        <v/>
      </c>
      <c r="BK38" s="29" t="str">
        <f>IF((SUMIFS(Effektmåling!$J$163:$J$167,Effektmåling!$D$163:$D$167,$B38,$AO$120:$AO$124,BK$3))&lt;&gt;0,(SUMIFS(Effektmåling!$J$163:$J$167,Effektmåling!$D$163:$D$167,$B38,$AO$120:$AO$124,BK$3))*-AW38,"")</f>
        <v/>
      </c>
      <c r="BL38" s="29" t="str">
        <f>IF((SUMIFS(Effektmåling!$J$163:$J$167,Effektmåling!$D$163:$D$167,$B38,$AO$120:$AO$124,BL$3))&lt;&gt;0,(SUMIFS(Effektmåling!$J$163:$J$167,Effektmåling!$D$163:$D$167,$B38,$AO$120:$AO$124,BL$3))*-AX38,"")</f>
        <v/>
      </c>
      <c r="BM38" s="29" t="str">
        <f>IF((SUMIFS(Effektmåling!$J$163:$J$167,Effektmåling!$D$163:$D$167,$B38,$AO$120:$AO$124,BM$3))&lt;&gt;0,(SUMIFS(Effektmåling!$J$163:$J$167,Effektmåling!$D$163:$D$167,$B38,$AO$120:$AO$124,BM$3))*-AY38,"")</f>
        <v/>
      </c>
      <c r="BO38" s="211">
        <f t="shared" ca="1" si="24"/>
        <v>100000</v>
      </c>
      <c r="BP38" s="207" t="str">
        <f t="shared" si="52"/>
        <v>Betonelementer</v>
      </c>
      <c r="BQ38" s="29">
        <f t="shared" ca="1" si="25"/>
        <v>0</v>
      </c>
      <c r="BR38" s="29">
        <f t="shared" ca="1" si="14"/>
        <v>100000</v>
      </c>
      <c r="BS38" s="29"/>
      <c r="BT38" s="29"/>
      <c r="BU38" s="29"/>
      <c r="BV38" s="29"/>
      <c r="BW38" s="212"/>
    </row>
    <row r="39" spans="1:75" x14ac:dyDescent="0.15">
      <c r="A39" s="19">
        <f>A38+1</f>
        <v>35</v>
      </c>
      <c r="B39" s="19" t="s">
        <v>281</v>
      </c>
      <c r="C39" s="19">
        <v>1</v>
      </c>
      <c r="D39" s="22">
        <v>2.6879</v>
      </c>
      <c r="E39" s="22">
        <v>0.02</v>
      </c>
      <c r="F39" s="22">
        <v>6.2E-2</v>
      </c>
      <c r="G39" s="22">
        <v>5.0000000000000001E-4</v>
      </c>
      <c r="H39" s="119">
        <v>0</v>
      </c>
      <c r="I39" s="74">
        <v>0</v>
      </c>
      <c r="J39" s="119">
        <v>0</v>
      </c>
      <c r="K39" s="74">
        <v>0</v>
      </c>
      <c r="L39" s="130">
        <v>7.3062905053256902E-4</v>
      </c>
      <c r="M39" s="74">
        <v>0</v>
      </c>
      <c r="O39" s="142">
        <f t="shared" si="18"/>
        <v>4.1999999999999996E-2</v>
      </c>
      <c r="P39" s="142">
        <f t="shared" si="19"/>
        <v>-1.95E-2</v>
      </c>
      <c r="Q39" s="142">
        <f t="shared" si="20"/>
        <v>-0.02</v>
      </c>
      <c r="R39" s="142">
        <f t="shared" si="21"/>
        <v>-6.1499999999999999E-2</v>
      </c>
      <c r="S39" s="142">
        <f t="shared" si="22"/>
        <v>-6.2E-2</v>
      </c>
      <c r="T39" s="142">
        <f t="shared" si="23"/>
        <v>-5.0000000000000001E-4</v>
      </c>
      <c r="V39" s="29">
        <f ca="1">SUMIF(Effektmåling!$D$53:$E$57,'DB materialer'!B39,Effektmåling!$H$53:$H$57)</f>
        <v>0</v>
      </c>
      <c r="W39" s="477" t="str">
        <f ca="1">IF((V39*D39)=0,"",IF(Effektmåling!$Q$241="Ja",1.3*(V39*D39),V39*D39))</f>
        <v/>
      </c>
      <c r="X39" s="29" t="str">
        <f ca="1">IF(W39="","",RANK(W39,$W$7:$W$56,0)+COUNTIF($W$7:W39,W39)-1)</f>
        <v/>
      </c>
      <c r="Y39" s="29" t="str">
        <f t="shared" ca="1" si="44"/>
        <v/>
      </c>
      <c r="AA39" s="29">
        <f ca="1">$C$122*SUMIF(Effektmåling!$D$128:$E$132,'DB materialer'!$B39,Effektmåling!$I$128:$I$132)</f>
        <v>0</v>
      </c>
      <c r="AB39" s="477" t="str">
        <f ca="1">IF((AA39*D39)=0,"",IF(Effektmåling!$Q$241="Ja",1.3*(AA39*D39),AA39*D39))</f>
        <v/>
      </c>
      <c r="AC39" s="29" t="str">
        <f ca="1">IF(AB39="","",RANK(AB39,$AB$7:$AB$56,0)+COUNTIF($AB$7:AB39,AB39)-1)</f>
        <v/>
      </c>
      <c r="AD39" s="29">
        <f t="shared" ca="1" si="51"/>
        <v>0</v>
      </c>
      <c r="AE39" s="29"/>
      <c r="AF39" s="29" t="str">
        <f>IF((SUMIFS(Effektmåling!$J$178:$J$182,Effektmåling!$D$178:$D$182,$B39,$AH$120:$AH$124,'DB materialer'!AF$3))&lt;&gt;0,(SUMIFS(Effektmåling!$J$178:$J$182,Effektmåling!$D$178:$D$182,$B39,$AH$120:$AH$124,'DB materialer'!AF$3))*-O39,"")</f>
        <v/>
      </c>
      <c r="AG39" s="29" t="str">
        <f>IF((SUMIFS(Effektmåling!$J$178:$J$182,Effektmåling!$D$178:$D$182,$B39,$AH$120:$AH$124,'DB materialer'!AG$3))&lt;&gt;0,(SUMIFS(Effektmåling!$J$178:$J$182,Effektmåling!$D$178:$D$182,$B39,$AH$120:$AH$124,'DB materialer'!AG$3))*-P39,"")</f>
        <v/>
      </c>
      <c r="AH39" s="29" t="str">
        <f>IF((SUMIFS(Effektmåling!$J$178:$J$182,Effektmåling!$D$178:$D$182,$B39,$AH$120:$AH$124,'DB materialer'!AH$3))&lt;&gt;0,(SUMIFS(Effektmåling!$J$178:$J$182,Effektmåling!$D$178:$D$182,$B39,$AH$120:$AH$124,'DB materialer'!AH$3))*-Q39,"")</f>
        <v/>
      </c>
      <c r="AI39" s="29" t="str">
        <f>IF((SUMIFS(Effektmåling!$J$178:$J$182,Effektmåling!$D$178:$D$182,$B39,$AH$120:$AH$124,'DB materialer'!AI$3))&lt;&gt;0,(SUMIFS(Effektmåling!$J$178:$J$182,Effektmåling!$D$178:$D$182,$B39,$AH$120:$AH$124,'DB materialer'!AI$3))*-R39,"")</f>
        <v/>
      </c>
      <c r="AJ39" s="29" t="str">
        <f>IF((SUMIFS(Effektmåling!$J$178:$J$182,Effektmåling!$D$178:$D$182,$B39,$AH$120:$AH$124,'DB materialer'!AJ$3))&lt;&gt;0,(SUMIFS(Effektmåling!$J$178:$J$182,Effektmåling!$D$178:$D$182,$B39,$AH$120:$AH$124,'DB materialer'!AJ$3))*-S39,"")</f>
        <v/>
      </c>
      <c r="AK39" s="29" t="str">
        <f>IF((SUMIFS(Effektmåling!$J$178:$J$182,Effektmåling!$D$178:$D$182,$B39,$AH$120:$AH$124,'DB materialer'!AK$3))&lt;&gt;0,(SUMIFS(Effektmåling!$J$178:$J$182,Effektmåling!$D$178:$D$182,$B39,$AH$120:$AH$124,'DB materialer'!AK$3))*-T39,"")</f>
        <v/>
      </c>
      <c r="AM39" s="29" t="str">
        <f>IF((SUMIFS(Effektmåling!$J$163:$J$167,Effektmåling!$D$163:$D$167,$B39,$AO$120:$AO$124,'DB materialer'!AM$3))&lt;&gt;0,(SUMIFS(Effektmåling!$J$163:$J$167,Effektmåling!$D$163:$D$167,$B39,$AO$120:$AO$124,'DB materialer'!AM$3))*(-O39)*($C$122),"")</f>
        <v/>
      </c>
      <c r="AN39" s="29" t="str">
        <f>IF((SUMIFS(Effektmåling!$J$163:$J$167,Effektmåling!$D$163:$D$167,$B39,$AO$120:$AO$124,'DB materialer'!AN$3))&lt;&gt;0,(SUMIFS(Effektmåling!$J$163:$J$167,Effektmåling!$D$163:$D$167,$B39,$AO$120:$AO$124,'DB materialer'!AN$3))*(-P39)*($C$122),"")</f>
        <v/>
      </c>
      <c r="AO39" s="29" t="str">
        <f>IF((SUMIFS(Effektmåling!$J$163:$J$167,Effektmåling!$D$163:$D$167,$B39,$AO$120:$AO$124,'DB materialer'!AO$3))&lt;&gt;0,(SUMIFS(Effektmåling!$J$163:$J$167,Effektmåling!$D$163:$D$167,$B39,$AO$120:$AO$124,'DB materialer'!AO$3))*(-Q39)*($C$122),"")</f>
        <v/>
      </c>
      <c r="AP39" s="29" t="str">
        <f>IF((SUMIFS(Effektmåling!$J$163:$J$167,Effektmåling!$D$163:$D$167,$B39,$AO$120:$AO$124,'DB materialer'!AP$3))&lt;&gt;0,(SUMIFS(Effektmåling!$J$163:$J$167,Effektmåling!$D$163:$D$167,$B39,$AO$120:$AO$124,'DB materialer'!AP$3))*(-R39)*($C$122),"")</f>
        <v/>
      </c>
      <c r="AQ39" s="29" t="str">
        <f>IF((SUMIFS(Effektmåling!$J$163:$J$167,Effektmåling!$D$163:$D$167,$B39,$AO$120:$AO$124,'DB materialer'!AQ$3))&lt;&gt;0,(SUMIFS(Effektmåling!$J$163:$J$167,Effektmåling!$D$163:$D$167,$B39,$AO$120:$AO$124,'DB materialer'!AQ$3))*(-S39)*($C$122),"")</f>
        <v/>
      </c>
      <c r="AR39" s="29" t="str">
        <f>IF((SUMIFS(Effektmåling!$J$163:$J$167,Effektmåling!$D$163:$D$167,$B39,$AO$120:$AO$124,'DB materialer'!AR$3))&lt;&gt;0,(SUMIFS(Effektmåling!$J$163:$J$167,Effektmåling!$D$163:$D$167,$B39,$AO$120:$AO$124,'DB materialer'!AR$3))*(-T39)*($C$122),"")</f>
        <v/>
      </c>
      <c r="AT39" s="30">
        <f t="shared" si="45"/>
        <v>1.0000000000000001E-30</v>
      </c>
      <c r="AU39" s="40">
        <f t="shared" si="46"/>
        <v>7.3062905053256902E-4</v>
      </c>
      <c r="AV39" s="41">
        <f t="shared" si="47"/>
        <v>1.0000000000000001E-30</v>
      </c>
      <c r="AW39" s="40">
        <f t="shared" si="48"/>
        <v>7.3062905053256902E-4</v>
      </c>
      <c r="AX39" s="41">
        <f t="shared" si="49"/>
        <v>1.0000000000000001E-30</v>
      </c>
      <c r="AY39" s="41">
        <f t="shared" si="50"/>
        <v>-7.3062905053256902E-4</v>
      </c>
      <c r="BA39" s="29" t="str">
        <f>IF((SUMIFS(Effektmåling!$J$178:$J$182,Effektmåling!$D$178:$D$182,$B39,$AH$120:$AH$124,BA$3))&lt;&gt;0,(SUMIFS(Effektmåling!$J$178:$J$182,Effektmåling!$D$178:$D$182,$B39,$AH$120:$AH$124,BA$3))*-AT39,"")</f>
        <v/>
      </c>
      <c r="BB39" s="29" t="str">
        <f>IF((SUMIFS(Effektmåling!$J$178:$J$182,Effektmåling!$D$178:$D$182,$B39,$AH$120:$AH$124,BB$3))&lt;&gt;0,(SUMIFS(Effektmåling!$J$178:$J$182,Effektmåling!$D$178:$D$182,$B39,$AH$120:$AH$124,BB$3))*-AU39,"")</f>
        <v/>
      </c>
      <c r="BC39" s="29" t="str">
        <f>IF((SUMIFS(Effektmåling!$J$178:$J$182,Effektmåling!$D$178:$D$182,$B39,$AH$120:$AH$124,BC$3))&lt;&gt;0,(SUMIFS(Effektmåling!$J$178:$J$182,Effektmåling!$D$178:$D$182,$B39,$AH$120:$AH$124,BC$3))*-AV39,"")</f>
        <v/>
      </c>
      <c r="BD39" s="29" t="str">
        <f>IF((SUMIFS(Effektmåling!$J$178:$J$182,Effektmåling!$D$178:$D$182,$B39,$AH$120:$AH$124,BD$3))&lt;&gt;0,(SUMIFS(Effektmåling!$J$178:$J$182,Effektmåling!$D$178:$D$182,$B39,$AH$120:$AH$124,BD$3))*-AW39,"")</f>
        <v/>
      </c>
      <c r="BE39" s="29" t="str">
        <f>IF((SUMIFS(Effektmåling!$J$178:$J$182,Effektmåling!$D$178:$D$182,$B39,$AH$120:$AH$124,BE$3))&lt;&gt;0,(SUMIFS(Effektmåling!$J$178:$J$182,Effektmåling!$D$178:$D$182,$B39,$AH$120:$AH$124,BE$3))*-AX39,"")</f>
        <v/>
      </c>
      <c r="BF39" s="29" t="str">
        <f>IF((SUMIFS(Effektmåling!$J$178:$J$182,Effektmåling!$D$178:$D$182,$B39,$AH$120:$AH$124,BF$3))&lt;&gt;0,(SUMIFS(Effektmåling!$J$178:$J$182,Effektmåling!$D$178:$D$182,$B39,$AH$120:$AH$124,BF$3))*-AY39,"")</f>
        <v/>
      </c>
      <c r="BH39" s="29" t="str">
        <f>IF((SUMIFS(Effektmåling!$J$163:$J$167,Effektmåling!$D$163:$D$167,$B39,$AO$120:$AO$124,BH$3))&lt;&gt;0,(SUMIFS(Effektmåling!$J$163:$J$167,Effektmåling!$D$163:$D$167,$B39,$AO$120:$AO$124,BH$3))*-AT39,"")</f>
        <v/>
      </c>
      <c r="BI39" s="29" t="str">
        <f>IF((SUMIFS(Effektmåling!$J$163:$J$167,Effektmåling!$D$163:$D$167,$B39,$AO$120:$AO$124,BI$3))&lt;&gt;0,(SUMIFS(Effektmåling!$J$163:$J$167,Effektmåling!$D$163:$D$167,$B39,$AO$120:$AO$124,BI$3))*-AU39,"")</f>
        <v/>
      </c>
      <c r="BJ39" s="29" t="str">
        <f>IF((SUMIFS(Effektmåling!$J$163:$J$167,Effektmåling!$D$163:$D$167,$B39,$AO$120:$AO$124,BJ$3))&lt;&gt;0,(SUMIFS(Effektmåling!$J$163:$J$167,Effektmåling!$D$163:$D$167,$B39,$AO$120:$AO$124,BJ$3))*-AV39,"")</f>
        <v/>
      </c>
      <c r="BK39" s="29" t="str">
        <f>IF((SUMIFS(Effektmåling!$J$163:$J$167,Effektmåling!$D$163:$D$167,$B39,$AO$120:$AO$124,BK$3))&lt;&gt;0,(SUMIFS(Effektmåling!$J$163:$J$167,Effektmåling!$D$163:$D$167,$B39,$AO$120:$AO$124,BK$3))*-AW39,"")</f>
        <v/>
      </c>
      <c r="BL39" s="29" t="str">
        <f>IF((SUMIFS(Effektmåling!$J$163:$J$167,Effektmåling!$D$163:$D$167,$B39,$AO$120:$AO$124,BL$3))&lt;&gt;0,(SUMIFS(Effektmåling!$J$163:$J$167,Effektmåling!$D$163:$D$167,$B39,$AO$120:$AO$124,BL$3))*-AX39,"")</f>
        <v/>
      </c>
      <c r="BM39" s="29" t="str">
        <f>IF((SUMIFS(Effektmåling!$J$163:$J$167,Effektmåling!$D$163:$D$167,$B39,$AO$120:$AO$124,BM$3))&lt;&gt;0,(SUMIFS(Effektmåling!$J$163:$J$167,Effektmåling!$D$163:$D$167,$B39,$AO$120:$AO$124,BM$3))*-AY39,"")</f>
        <v/>
      </c>
      <c r="BO39" s="211">
        <f t="shared" ca="1" si="24"/>
        <v>100000</v>
      </c>
      <c r="BP39" s="207" t="str">
        <f t="shared" si="52"/>
        <v>Glasuld</v>
      </c>
      <c r="BQ39" s="29">
        <f t="shared" ca="1" si="25"/>
        <v>0</v>
      </c>
      <c r="BR39" s="29">
        <f t="shared" ref="BR39:BR56" ca="1" si="53">IF(BQ39=0,100000,RANK(BQ39,$BQ$7:$BQ$56,0)+COUNTIF($BQ$7:$BQ$56,BQ39)-1)</f>
        <v>100000</v>
      </c>
      <c r="BS39" s="29"/>
      <c r="BT39" s="29"/>
      <c r="BU39" s="29"/>
      <c r="BV39" s="29"/>
      <c r="BW39" s="212"/>
    </row>
    <row r="40" spans="1:75" x14ac:dyDescent="0.15">
      <c r="A40" s="19">
        <f>A39+1</f>
        <v>36</v>
      </c>
      <c r="B40" s="19" t="s">
        <v>282</v>
      </c>
      <c r="C40" s="19">
        <v>1</v>
      </c>
      <c r="D40" s="22">
        <v>1.1755</v>
      </c>
      <c r="E40" s="22">
        <v>0.02</v>
      </c>
      <c r="F40" s="22">
        <v>6.2E-2</v>
      </c>
      <c r="G40" s="22">
        <v>5.0000000000000001E-4</v>
      </c>
      <c r="H40" s="119">
        <v>0</v>
      </c>
      <c r="I40" s="74">
        <v>0</v>
      </c>
      <c r="J40" s="119">
        <v>0</v>
      </c>
      <c r="K40" s="74">
        <v>0</v>
      </c>
      <c r="L40" s="130">
        <v>7.3062905053256902E-4</v>
      </c>
      <c r="M40" s="74">
        <v>0</v>
      </c>
      <c r="O40" s="142">
        <f>F40-E40</f>
        <v>4.1999999999999996E-2</v>
      </c>
      <c r="P40" s="142">
        <f>G40-E40</f>
        <v>-1.95E-2</v>
      </c>
      <c r="Q40" s="142">
        <f>H40-E40</f>
        <v>-0.02</v>
      </c>
      <c r="R40" s="142">
        <f>G40-F40</f>
        <v>-6.1499999999999999E-2</v>
      </c>
      <c r="S40" s="142">
        <f>H40-F40</f>
        <v>-6.2E-2</v>
      </c>
      <c r="T40" s="142">
        <f>H40-G40</f>
        <v>-5.0000000000000001E-4</v>
      </c>
      <c r="V40" s="29">
        <f ca="1">SUMIF(Effektmåling!$D$53:$E$57,'DB materialer'!B40,Effektmåling!$H$53:$H$57)</f>
        <v>0</v>
      </c>
      <c r="W40" s="477" t="str">
        <f ca="1">IF((V40*D40)=0,"",IF(Effektmåling!$Q$241="Ja",1.3*(V40*D40),V40*D40))</f>
        <v/>
      </c>
      <c r="X40" s="29" t="str">
        <f ca="1">IF(W40="","",RANK(W40,$W$7:$W$56,0)+COUNTIF($W$7:W40,W40)-1)</f>
        <v/>
      </c>
      <c r="Y40" s="29" t="str">
        <f ca="1">IF((V40*I40)=0,"",V40*I40)</f>
        <v/>
      </c>
      <c r="AA40" s="29">
        <f ca="1">$C$122*SUMIF(Effektmåling!$D$128:$E$132,'DB materialer'!$B40,Effektmåling!$I$128:$I$132)</f>
        <v>0</v>
      </c>
      <c r="AB40" s="477" t="str">
        <f ca="1">IF((AA40*D40)=0,"",IF(Effektmåling!$Q$241="Ja",1.3*(AA40*D40),AA40*D40))</f>
        <v/>
      </c>
      <c r="AC40" s="29" t="str">
        <f ca="1">IF(AB40="","",RANK(AB40,$AB$7:$AB$56,0)+COUNTIF($AB$7:AB40,AB40)-1)</f>
        <v/>
      </c>
      <c r="AD40" s="29">
        <f ca="1">IF((AA40*I40)=0,0,AA40*I40)</f>
        <v>0</v>
      </c>
      <c r="AE40" s="29"/>
      <c r="AF40" s="29" t="str">
        <f>IF((SUMIFS(Effektmåling!$J$178:$J$182,Effektmåling!$D$178:$D$182,$B40,$AH$120:$AH$124,'DB materialer'!AF$3))&lt;&gt;0,(SUMIFS(Effektmåling!$J$178:$J$182,Effektmåling!$D$178:$D$182,$B40,$AH$120:$AH$124,'DB materialer'!AF$3))*-O40,"")</f>
        <v/>
      </c>
      <c r="AG40" s="29" t="str">
        <f>IF((SUMIFS(Effektmåling!$J$178:$J$182,Effektmåling!$D$178:$D$182,$B40,$AH$120:$AH$124,'DB materialer'!AG$3))&lt;&gt;0,(SUMIFS(Effektmåling!$J$178:$J$182,Effektmåling!$D$178:$D$182,$B40,$AH$120:$AH$124,'DB materialer'!AG$3))*-P40,"")</f>
        <v/>
      </c>
      <c r="AH40" s="29" t="str">
        <f>IF((SUMIFS(Effektmåling!$J$178:$J$182,Effektmåling!$D$178:$D$182,$B40,$AH$120:$AH$124,'DB materialer'!AH$3))&lt;&gt;0,(SUMIFS(Effektmåling!$J$178:$J$182,Effektmåling!$D$178:$D$182,$B40,$AH$120:$AH$124,'DB materialer'!AH$3))*-Q40,"")</f>
        <v/>
      </c>
      <c r="AI40" s="29" t="str">
        <f>IF((SUMIFS(Effektmåling!$J$178:$J$182,Effektmåling!$D$178:$D$182,$B40,$AH$120:$AH$124,'DB materialer'!AI$3))&lt;&gt;0,(SUMIFS(Effektmåling!$J$178:$J$182,Effektmåling!$D$178:$D$182,$B40,$AH$120:$AH$124,'DB materialer'!AI$3))*-R40,"")</f>
        <v/>
      </c>
      <c r="AJ40" s="29" t="str">
        <f>IF((SUMIFS(Effektmåling!$J$178:$J$182,Effektmåling!$D$178:$D$182,$B40,$AH$120:$AH$124,'DB materialer'!AJ$3))&lt;&gt;0,(SUMIFS(Effektmåling!$J$178:$J$182,Effektmåling!$D$178:$D$182,$B40,$AH$120:$AH$124,'DB materialer'!AJ$3))*-S40,"")</f>
        <v/>
      </c>
      <c r="AK40" s="29" t="str">
        <f>IF((SUMIFS(Effektmåling!$J$178:$J$182,Effektmåling!$D$178:$D$182,$B40,$AH$120:$AH$124,'DB materialer'!AK$3))&lt;&gt;0,(SUMIFS(Effektmåling!$J$178:$J$182,Effektmåling!$D$178:$D$182,$B40,$AH$120:$AH$124,'DB materialer'!AK$3))*-T40,"")</f>
        <v/>
      </c>
      <c r="AM40" s="29" t="str">
        <f>IF((SUMIFS(Effektmåling!$J$163:$J$167,Effektmåling!$D$163:$D$167,$B40,$AO$120:$AO$124,'DB materialer'!AM$3))&lt;&gt;0,(SUMIFS(Effektmåling!$J$163:$J$167,Effektmåling!$D$163:$D$167,$B40,$AO$120:$AO$124,'DB materialer'!AM$3))*(-O40)*($C$122),"")</f>
        <v/>
      </c>
      <c r="AN40" s="29" t="str">
        <f>IF((SUMIFS(Effektmåling!$J$163:$J$167,Effektmåling!$D$163:$D$167,$B40,$AO$120:$AO$124,'DB materialer'!AN$3))&lt;&gt;0,(SUMIFS(Effektmåling!$J$163:$J$167,Effektmåling!$D$163:$D$167,$B40,$AO$120:$AO$124,'DB materialer'!AN$3))*(-P40)*($C$122),"")</f>
        <v/>
      </c>
      <c r="AO40" s="29" t="str">
        <f>IF((SUMIFS(Effektmåling!$J$163:$J$167,Effektmåling!$D$163:$D$167,$B40,$AO$120:$AO$124,'DB materialer'!AO$3))&lt;&gt;0,(SUMIFS(Effektmåling!$J$163:$J$167,Effektmåling!$D$163:$D$167,$B40,$AO$120:$AO$124,'DB materialer'!AO$3))*(-Q40)*($C$122),"")</f>
        <v/>
      </c>
      <c r="AP40" s="29" t="str">
        <f>IF((SUMIFS(Effektmåling!$J$163:$J$167,Effektmåling!$D$163:$D$167,$B40,$AO$120:$AO$124,'DB materialer'!AP$3))&lt;&gt;0,(SUMIFS(Effektmåling!$J$163:$J$167,Effektmåling!$D$163:$D$167,$B40,$AO$120:$AO$124,'DB materialer'!AP$3))*(-R40)*($C$122),"")</f>
        <v/>
      </c>
      <c r="AQ40" s="29" t="str">
        <f>IF((SUMIFS(Effektmåling!$J$163:$J$167,Effektmåling!$D$163:$D$167,$B40,$AO$120:$AO$124,'DB materialer'!AQ$3))&lt;&gt;0,(SUMIFS(Effektmåling!$J$163:$J$167,Effektmåling!$D$163:$D$167,$B40,$AO$120:$AO$124,'DB materialer'!AQ$3))*(-S40)*($C$122),"")</f>
        <v/>
      </c>
      <c r="AR40" s="29" t="str">
        <f>IF((SUMIFS(Effektmåling!$J$163:$J$167,Effektmåling!$D$163:$D$167,$B40,$AO$120:$AO$124,'DB materialer'!AR$3))&lt;&gt;0,(SUMIFS(Effektmåling!$J$163:$J$167,Effektmåling!$D$163:$D$167,$B40,$AO$120:$AO$124,'DB materialer'!AR$3))*(-T40)*($C$122),"")</f>
        <v/>
      </c>
      <c r="AT40" s="30">
        <f>IF((K40-J40)=0,1E-30,K40-J40)</f>
        <v>1.0000000000000001E-30</v>
      </c>
      <c r="AU40" s="40">
        <f>IF((L40-J40)=0,1E-30,L40-J40)</f>
        <v>7.3062905053256902E-4</v>
      </c>
      <c r="AV40" s="41">
        <f>IF((M40-J40)=0,1E-30,M40-J40)</f>
        <v>1.0000000000000001E-30</v>
      </c>
      <c r="AW40" s="40">
        <f>IF((L40-K40)=0,1E-30,L40-K40)</f>
        <v>7.3062905053256902E-4</v>
      </c>
      <c r="AX40" s="41">
        <f>IF((M40-K40)=0,1E-30,M40-K40)</f>
        <v>1.0000000000000001E-30</v>
      </c>
      <c r="AY40" s="41">
        <f>IF((M40-L40)=0,1E-30,M40-L40)</f>
        <v>-7.3062905053256902E-4</v>
      </c>
      <c r="BA40" s="29" t="str">
        <f>IF((SUMIFS(Effektmåling!$J$178:$J$182,Effektmåling!$D$178:$D$182,$B40,$AH$120:$AH$124,BA$3))&lt;&gt;0,(SUMIFS(Effektmåling!$J$178:$J$182,Effektmåling!$D$178:$D$182,$B40,$AH$120:$AH$124,BA$3))*-AT40,"")</f>
        <v/>
      </c>
      <c r="BB40" s="29" t="str">
        <f>IF((SUMIFS(Effektmåling!$J$178:$J$182,Effektmåling!$D$178:$D$182,$B40,$AH$120:$AH$124,BB$3))&lt;&gt;0,(SUMIFS(Effektmåling!$J$178:$J$182,Effektmåling!$D$178:$D$182,$B40,$AH$120:$AH$124,BB$3))*-AU40,"")</f>
        <v/>
      </c>
      <c r="BC40" s="29" t="str">
        <f>IF((SUMIFS(Effektmåling!$J$178:$J$182,Effektmåling!$D$178:$D$182,$B40,$AH$120:$AH$124,BC$3))&lt;&gt;0,(SUMIFS(Effektmåling!$J$178:$J$182,Effektmåling!$D$178:$D$182,$B40,$AH$120:$AH$124,BC$3))*-AV40,"")</f>
        <v/>
      </c>
      <c r="BD40" s="29" t="str">
        <f>IF((SUMIFS(Effektmåling!$J$178:$J$182,Effektmåling!$D$178:$D$182,$B40,$AH$120:$AH$124,BD$3))&lt;&gt;0,(SUMIFS(Effektmåling!$J$178:$J$182,Effektmåling!$D$178:$D$182,$B40,$AH$120:$AH$124,BD$3))*-AW40,"")</f>
        <v/>
      </c>
      <c r="BE40" s="29" t="str">
        <f>IF((SUMIFS(Effektmåling!$J$178:$J$182,Effektmåling!$D$178:$D$182,$B40,$AH$120:$AH$124,BE$3))&lt;&gt;0,(SUMIFS(Effektmåling!$J$178:$J$182,Effektmåling!$D$178:$D$182,$B40,$AH$120:$AH$124,BE$3))*-AX40,"")</f>
        <v/>
      </c>
      <c r="BF40" s="29" t="str">
        <f>IF((SUMIFS(Effektmåling!$J$178:$J$182,Effektmåling!$D$178:$D$182,$B40,$AH$120:$AH$124,BF$3))&lt;&gt;0,(SUMIFS(Effektmåling!$J$178:$J$182,Effektmåling!$D$178:$D$182,$B40,$AH$120:$AH$124,BF$3))*-AY40,"")</f>
        <v/>
      </c>
      <c r="BH40" s="29" t="str">
        <f>IF((SUMIFS(Effektmåling!$J$163:$J$167,Effektmåling!$D$163:$D$167,$B40,$AO$120:$AO$124,BH$3))&lt;&gt;0,(SUMIFS(Effektmåling!$J$163:$J$167,Effektmåling!$D$163:$D$167,$B40,$AO$120:$AO$124,BH$3))*-AT40,"")</f>
        <v/>
      </c>
      <c r="BI40" s="29" t="str">
        <f>IF((SUMIFS(Effektmåling!$J$163:$J$167,Effektmåling!$D$163:$D$167,$B40,$AO$120:$AO$124,BI$3))&lt;&gt;0,(SUMIFS(Effektmåling!$J$163:$J$167,Effektmåling!$D$163:$D$167,$B40,$AO$120:$AO$124,BI$3))*-AU40,"")</f>
        <v/>
      </c>
      <c r="BJ40" s="29" t="str">
        <f>IF((SUMIFS(Effektmåling!$J$163:$J$167,Effektmåling!$D$163:$D$167,$B40,$AO$120:$AO$124,BJ$3))&lt;&gt;0,(SUMIFS(Effektmåling!$J$163:$J$167,Effektmåling!$D$163:$D$167,$B40,$AO$120:$AO$124,BJ$3))*-AV40,"")</f>
        <v/>
      </c>
      <c r="BK40" s="29" t="str">
        <f>IF((SUMIFS(Effektmåling!$J$163:$J$167,Effektmåling!$D$163:$D$167,$B40,$AO$120:$AO$124,BK$3))&lt;&gt;0,(SUMIFS(Effektmåling!$J$163:$J$167,Effektmåling!$D$163:$D$167,$B40,$AO$120:$AO$124,BK$3))*-AW40,"")</f>
        <v/>
      </c>
      <c r="BL40" s="29" t="str">
        <f>IF((SUMIFS(Effektmåling!$J$163:$J$167,Effektmåling!$D$163:$D$167,$B40,$AO$120:$AO$124,BL$3))&lt;&gt;0,(SUMIFS(Effektmåling!$J$163:$J$167,Effektmåling!$D$163:$D$167,$B40,$AO$120:$AO$124,BL$3))*-AX40,"")</f>
        <v/>
      </c>
      <c r="BM40" s="29" t="str">
        <f>IF((SUMIFS(Effektmåling!$J$163:$J$167,Effektmåling!$D$163:$D$167,$B40,$AO$120:$AO$124,BM$3))&lt;&gt;0,(SUMIFS(Effektmåling!$J$163:$J$167,Effektmåling!$D$163:$D$167,$B40,$AO$120:$AO$124,BM$3))*-AY40,"")</f>
        <v/>
      </c>
      <c r="BO40" s="211">
        <f ca="1">BR40</f>
        <v>100000</v>
      </c>
      <c r="BP40" s="207" t="str">
        <f>B40</f>
        <v>Stenuld</v>
      </c>
      <c r="BQ40" s="29">
        <f ca="1">V40+AA40+(1-$BQ$4)*SUMIF($BY$7:$BY$11,BP40,$BZ$7:$BZ$11)+(1-$BQ$4)*SUMIF($CA$7:$CA$11,BP40,$CB$7:$CB$11)</f>
        <v>0</v>
      </c>
      <c r="BR40" s="29">
        <f t="shared" ca="1" si="53"/>
        <v>100000</v>
      </c>
      <c r="BS40" s="29"/>
      <c r="BT40" s="29"/>
      <c r="BU40" s="29"/>
      <c r="BV40" s="29"/>
      <c r="BW40" s="212"/>
    </row>
    <row r="41" spans="1:75" s="474" customFormat="1" x14ac:dyDescent="0.15">
      <c r="A41" s="474">
        <f t="shared" si="5"/>
        <v>37</v>
      </c>
      <c r="B41" s="474" t="s">
        <v>597</v>
      </c>
      <c r="C41" s="474">
        <v>1</v>
      </c>
      <c r="D41" s="475">
        <v>21</v>
      </c>
      <c r="E41" s="475">
        <v>0.47</v>
      </c>
      <c r="F41" s="475">
        <v>5.2999999999999999E-2</v>
      </c>
      <c r="G41" s="475">
        <v>1.5</v>
      </c>
      <c r="H41" s="471"/>
      <c r="I41" s="470">
        <v>0.1</v>
      </c>
      <c r="J41" s="471"/>
      <c r="K41" s="471"/>
      <c r="L41" s="469">
        <v>0.17499999999999999</v>
      </c>
      <c r="M41" s="471"/>
      <c r="O41" s="485">
        <f>F41-E41</f>
        <v>-0.41699999999999998</v>
      </c>
      <c r="P41" s="485">
        <f>G41-E41</f>
        <v>1.03</v>
      </c>
      <c r="Q41" s="485">
        <f>H41-E41</f>
        <v>-0.47</v>
      </c>
      <c r="R41" s="485">
        <f>G41-F41</f>
        <v>1.4470000000000001</v>
      </c>
      <c r="S41" s="485">
        <f>H41-F41</f>
        <v>-5.2999999999999999E-2</v>
      </c>
      <c r="T41" s="485">
        <f>H41-G41</f>
        <v>-1.5</v>
      </c>
      <c r="V41" s="476">
        <f ca="1">SUMIF(Effektmåling!$D$53:$E$57,'DB materialer'!B41,Effektmåling!$H$53:$H$57)</f>
        <v>0</v>
      </c>
      <c r="W41" s="477" t="str">
        <f ca="1">IF((V41*D41)=0,"",IF(Effektmåling!$Q$241="Ja",1.3*(V41*D41),V41*D41))</f>
        <v/>
      </c>
      <c r="X41" s="476" t="str">
        <f ca="1">IF(W41="","",RANK(W41,$W$7:$W$56,0)+COUNTIF($W$7:W41,W41)-1)</f>
        <v/>
      </c>
      <c r="Y41" s="476" t="str">
        <f ca="1">IF((V41*I41)=0,"",V41*I41)</f>
        <v/>
      </c>
      <c r="AA41" s="476">
        <f ca="1">$C$122*SUMIF(Effektmåling!$D$128:$E$132,'DB materialer'!$B41,Effektmåling!$I$128:$I$132)</f>
        <v>0</v>
      </c>
      <c r="AB41" s="477" t="str">
        <f ca="1">IF((AA41*D41)=0,"",IF(Effektmåling!$Q$241="Ja",1.3*(AA41*D41),AA41*D41))</f>
        <v/>
      </c>
      <c r="AC41" s="476" t="str">
        <f ca="1">IF(AB41="","",RANK(AB41,$AB$7:$AB$56,0)+COUNTIF($AB$7:AB41,AB41)-1)</f>
        <v/>
      </c>
      <c r="AD41" s="476">
        <f ca="1">IF((AA41*I41)=0,0,AA41*I41)</f>
        <v>0</v>
      </c>
      <c r="AE41" s="476"/>
      <c r="AF41" s="476" t="str">
        <f>IF((SUMIFS(Effektmåling!$J$178:$J$182,Effektmåling!$D$178:$D$182,$B41,$AH$120:$AH$124,'DB materialer'!AF$3))&lt;&gt;0,(SUMIFS(Effektmåling!$J$178:$J$182,Effektmåling!$D$178:$D$182,$B41,$AH$120:$AH$124,'DB materialer'!AF$3))*-O41,"")</f>
        <v/>
      </c>
      <c r="AG41" s="476" t="str">
        <f>IF((SUMIFS(Effektmåling!$J$178:$J$182,Effektmåling!$D$178:$D$182,$B41,$AH$120:$AH$124,'DB materialer'!AG$3))&lt;&gt;0,(SUMIFS(Effektmåling!$J$178:$J$182,Effektmåling!$D$178:$D$182,$B41,$AH$120:$AH$124,'DB materialer'!AG$3))*-P41,"")</f>
        <v/>
      </c>
      <c r="AH41" s="476" t="str">
        <f>IF((SUMIFS(Effektmåling!$J$178:$J$182,Effektmåling!$D$178:$D$182,$B41,$AH$120:$AH$124,'DB materialer'!AH$3))&lt;&gt;0,(SUMIFS(Effektmåling!$J$178:$J$182,Effektmåling!$D$178:$D$182,$B41,$AH$120:$AH$124,'DB materialer'!AH$3))*-Q41,"")</f>
        <v/>
      </c>
      <c r="AI41" s="476" t="str">
        <f>IF((SUMIFS(Effektmåling!$J$178:$J$182,Effektmåling!$D$178:$D$182,$B41,$AH$120:$AH$124,'DB materialer'!AI$3))&lt;&gt;0,(SUMIFS(Effektmåling!$J$178:$J$182,Effektmåling!$D$178:$D$182,$B41,$AH$120:$AH$124,'DB materialer'!AI$3))*-R41,"")</f>
        <v/>
      </c>
      <c r="AJ41" s="476" t="str">
        <f>IF((SUMIFS(Effektmåling!$J$178:$J$182,Effektmåling!$D$178:$D$182,$B41,$AH$120:$AH$124,'DB materialer'!AJ$3))&lt;&gt;0,(SUMIFS(Effektmåling!$J$178:$J$182,Effektmåling!$D$178:$D$182,$B41,$AH$120:$AH$124,'DB materialer'!AJ$3))*-S41,"")</f>
        <v/>
      </c>
      <c r="AK41" s="476" t="str">
        <f>IF((SUMIFS(Effektmåling!$J$178:$J$182,Effektmåling!$D$178:$D$182,$B41,$AH$120:$AH$124,'DB materialer'!AK$3))&lt;&gt;0,(SUMIFS(Effektmåling!$J$178:$J$182,Effektmåling!$D$178:$D$182,$B41,$AH$120:$AH$124,'DB materialer'!AK$3))*-T41,"")</f>
        <v/>
      </c>
      <c r="AM41" s="476" t="str">
        <f>IF((SUMIFS(Effektmåling!$J$163:$J$167,Effektmåling!$D$163:$D$167,$B41,$AO$120:$AO$124,'DB materialer'!AM$3))&lt;&gt;0,(SUMIFS(Effektmåling!$J$163:$J$167,Effektmåling!$D$163:$D$167,$B41,$AO$120:$AO$124,'DB materialer'!AM$3))*(-O41)*($C$122),"")</f>
        <v/>
      </c>
      <c r="AN41" s="476" t="str">
        <f>IF((SUMIFS(Effektmåling!$J$163:$J$167,Effektmåling!$D$163:$D$167,$B41,$AO$120:$AO$124,'DB materialer'!AN$3))&lt;&gt;0,(SUMIFS(Effektmåling!$J$163:$J$167,Effektmåling!$D$163:$D$167,$B41,$AO$120:$AO$124,'DB materialer'!AN$3))*(-P41)*($C$122),"")</f>
        <v/>
      </c>
      <c r="AO41" s="476" t="str">
        <f>IF((SUMIFS(Effektmåling!$J$163:$J$167,Effektmåling!$D$163:$D$167,$B41,$AO$120:$AO$124,'DB materialer'!AO$3))&lt;&gt;0,(SUMIFS(Effektmåling!$J$163:$J$167,Effektmåling!$D$163:$D$167,$B41,$AO$120:$AO$124,'DB materialer'!AO$3))*(-Q41)*($C$122),"")</f>
        <v/>
      </c>
      <c r="AP41" s="476" t="str">
        <f>IF((SUMIFS(Effektmåling!$J$163:$J$167,Effektmåling!$D$163:$D$167,$B41,$AO$120:$AO$124,'DB materialer'!AP$3))&lt;&gt;0,(SUMIFS(Effektmåling!$J$163:$J$167,Effektmåling!$D$163:$D$167,$B41,$AO$120:$AO$124,'DB materialer'!AP$3))*(-R41)*($C$122),"")</f>
        <v/>
      </c>
      <c r="AQ41" s="476" t="str">
        <f>IF((SUMIFS(Effektmåling!$J$163:$J$167,Effektmåling!$D$163:$D$167,$B41,$AO$120:$AO$124,'DB materialer'!AQ$3))&lt;&gt;0,(SUMIFS(Effektmåling!$J$163:$J$167,Effektmåling!$D$163:$D$167,$B41,$AO$120:$AO$124,'DB materialer'!AQ$3))*(-S41)*($C$122),"")</f>
        <v/>
      </c>
      <c r="AR41" s="476" t="str">
        <f>IF((SUMIFS(Effektmåling!$J$163:$J$167,Effektmåling!$D$163:$D$167,$B41,$AO$120:$AO$124,'DB materialer'!AR$3))&lt;&gt;0,(SUMIFS(Effektmåling!$J$163:$J$167,Effektmåling!$D$163:$D$167,$B41,$AO$120:$AO$124,'DB materialer'!AR$3))*(-T41)*($C$122),"")</f>
        <v/>
      </c>
      <c r="AT41" s="477">
        <f>IF((K41-J41)=0,1E-30,K41-J41)</f>
        <v>1.0000000000000001E-30</v>
      </c>
      <c r="AU41" s="479">
        <f>IF((L41-J41)=0,1E-30,L41-J41)</f>
        <v>0.17499999999999999</v>
      </c>
      <c r="AV41" s="480">
        <f>IF((M41-J41)=0,1E-30,M41-J41)</f>
        <v>1.0000000000000001E-30</v>
      </c>
      <c r="AW41" s="479">
        <f>IF((L41-K41)=0,1E-30,L41-K41)</f>
        <v>0.17499999999999999</v>
      </c>
      <c r="AX41" s="480">
        <f>IF((M41-K41)=0,1E-30,M41-K41)</f>
        <v>1.0000000000000001E-30</v>
      </c>
      <c r="AY41" s="480">
        <f>IF((M41-L41)=0,1E-30,M41-L41)</f>
        <v>-0.17499999999999999</v>
      </c>
      <c r="BA41" s="476" t="str">
        <f>IF((SUMIFS(Effektmåling!$J$178:$J$182,Effektmåling!$D$178:$D$182,$B41,$AH$120:$AH$124,BA$3))&lt;&gt;0,(SUMIFS(Effektmåling!$J$178:$J$182,Effektmåling!$D$178:$D$182,$B41,$AH$120:$AH$124,BA$3))*-AT41,"")</f>
        <v/>
      </c>
      <c r="BB41" s="476" t="str">
        <f>IF((SUMIFS(Effektmåling!$J$178:$J$182,Effektmåling!$D$178:$D$182,$B41,$AH$120:$AH$124,BB$3))&lt;&gt;0,(SUMIFS(Effektmåling!$J$178:$J$182,Effektmåling!$D$178:$D$182,$B41,$AH$120:$AH$124,BB$3))*-AU41,"")</f>
        <v/>
      </c>
      <c r="BC41" s="476" t="str">
        <f>IF((SUMIFS(Effektmåling!$J$178:$J$182,Effektmåling!$D$178:$D$182,$B41,$AH$120:$AH$124,BC$3))&lt;&gt;0,(SUMIFS(Effektmåling!$J$178:$J$182,Effektmåling!$D$178:$D$182,$B41,$AH$120:$AH$124,BC$3))*-AV41,"")</f>
        <v/>
      </c>
      <c r="BD41" s="476" t="str">
        <f>IF((SUMIFS(Effektmåling!$J$178:$J$182,Effektmåling!$D$178:$D$182,$B41,$AH$120:$AH$124,BD$3))&lt;&gt;0,(SUMIFS(Effektmåling!$J$178:$J$182,Effektmåling!$D$178:$D$182,$B41,$AH$120:$AH$124,BD$3))*-AW41,"")</f>
        <v/>
      </c>
      <c r="BE41" s="476" t="str">
        <f>IF((SUMIFS(Effektmåling!$J$178:$J$182,Effektmåling!$D$178:$D$182,$B41,$AH$120:$AH$124,BE$3))&lt;&gt;0,(SUMIFS(Effektmåling!$J$178:$J$182,Effektmåling!$D$178:$D$182,$B41,$AH$120:$AH$124,BE$3))*-AX41,"")</f>
        <v/>
      </c>
      <c r="BF41" s="476" t="str">
        <f>IF((SUMIFS(Effektmåling!$J$178:$J$182,Effektmåling!$D$178:$D$182,$B41,$AH$120:$AH$124,BF$3))&lt;&gt;0,(SUMIFS(Effektmåling!$J$178:$J$182,Effektmåling!$D$178:$D$182,$B41,$AH$120:$AH$124,BF$3))*-AY41,"")</f>
        <v/>
      </c>
      <c r="BH41" s="476" t="str">
        <f>IF((SUMIFS(Effektmåling!$J$163:$J$167,Effektmåling!$D$163:$D$167,$B41,$AO$120:$AO$124,BH$3))&lt;&gt;0,(SUMIFS(Effektmåling!$J$163:$J$167,Effektmåling!$D$163:$D$167,$B41,$AO$120:$AO$124,BH$3))*-AT41,"")</f>
        <v/>
      </c>
      <c r="BI41" s="476" t="str">
        <f>IF((SUMIFS(Effektmåling!$J$163:$J$167,Effektmåling!$D$163:$D$167,$B41,$AO$120:$AO$124,BI$3))&lt;&gt;0,(SUMIFS(Effektmåling!$J$163:$J$167,Effektmåling!$D$163:$D$167,$B41,$AO$120:$AO$124,BI$3))*-AU41,"")</f>
        <v/>
      </c>
      <c r="BJ41" s="476" t="str">
        <f>IF((SUMIFS(Effektmåling!$J$163:$J$167,Effektmåling!$D$163:$D$167,$B41,$AO$120:$AO$124,BJ$3))&lt;&gt;0,(SUMIFS(Effektmåling!$J$163:$J$167,Effektmåling!$D$163:$D$167,$B41,$AO$120:$AO$124,BJ$3))*-AV41,"")</f>
        <v/>
      </c>
      <c r="BK41" s="476" t="str">
        <f>IF((SUMIFS(Effektmåling!$J$163:$J$167,Effektmåling!$D$163:$D$167,$B41,$AO$120:$AO$124,BK$3))&lt;&gt;0,(SUMIFS(Effektmåling!$J$163:$J$167,Effektmåling!$D$163:$D$167,$B41,$AO$120:$AO$124,BK$3))*-AW41,"")</f>
        <v/>
      </c>
      <c r="BL41" s="476" t="str">
        <f>IF((SUMIFS(Effektmåling!$J$163:$J$167,Effektmåling!$D$163:$D$167,$B41,$AO$120:$AO$124,BL$3))&lt;&gt;0,(SUMIFS(Effektmåling!$J$163:$J$167,Effektmåling!$D$163:$D$167,$B41,$AO$120:$AO$124,BL$3))*-AX41,"")</f>
        <v/>
      </c>
      <c r="BM41" s="476" t="str">
        <f>IF((SUMIFS(Effektmåling!$J$163:$J$167,Effektmåling!$D$163:$D$167,$B41,$AO$120:$AO$124,BM$3))&lt;&gt;0,(SUMIFS(Effektmåling!$J$163:$J$167,Effektmåling!$D$163:$D$167,$B41,$AO$120:$AO$124,BM$3))*-AY41,"")</f>
        <v/>
      </c>
      <c r="BO41" s="488">
        <f ca="1">BR41</f>
        <v>100000</v>
      </c>
      <c r="BP41" s="487" t="str">
        <f>B41</f>
        <v>Tekstil</v>
      </c>
      <c r="BQ41" s="476">
        <f ca="1">V41+AA41+(1-$BQ$4)*SUMIF($BY$7:$BY$11,BP41,$BZ$7:$BZ$11)+(1-$BQ$4)*SUMIF($CA$7:$CA$11,BP41,$CB$7:$CB$11)</f>
        <v>0</v>
      </c>
      <c r="BR41" s="476">
        <f t="shared" ca="1" si="53"/>
        <v>100000</v>
      </c>
      <c r="BS41" s="476"/>
      <c r="BT41" s="476"/>
      <c r="BU41" s="476"/>
      <c r="BV41" s="476"/>
      <c r="BW41" s="489"/>
    </row>
    <row r="42" spans="1:75" ht="31.5" x14ac:dyDescent="0.15">
      <c r="A42" s="474">
        <f t="shared" si="5"/>
        <v>38</v>
      </c>
      <c r="B42" s="19" t="s">
        <v>283</v>
      </c>
      <c r="C42" s="18" t="s">
        <v>245</v>
      </c>
      <c r="D42" s="18" t="s">
        <v>245</v>
      </c>
      <c r="E42" s="18" t="s">
        <v>245</v>
      </c>
      <c r="F42" s="18" t="s">
        <v>245</v>
      </c>
      <c r="G42" s="18" t="s">
        <v>245</v>
      </c>
      <c r="H42" s="18" t="s">
        <v>245</v>
      </c>
      <c r="I42" s="137" t="s">
        <v>245</v>
      </c>
      <c r="J42" s="18" t="s">
        <v>245</v>
      </c>
      <c r="K42" s="18" t="s">
        <v>245</v>
      </c>
      <c r="L42" s="18" t="s">
        <v>245</v>
      </c>
      <c r="M42" s="18" t="s">
        <v>245</v>
      </c>
      <c r="O42" s="168"/>
      <c r="P42" s="168"/>
      <c r="Q42" s="168"/>
      <c r="R42" s="168"/>
      <c r="S42" s="168"/>
      <c r="T42" s="168"/>
      <c r="V42" s="43"/>
      <c r="W42" s="477"/>
      <c r="X42" s="45"/>
      <c r="Y42" s="45"/>
      <c r="AA42" s="45"/>
      <c r="AB42" s="47"/>
      <c r="AC42" s="45"/>
      <c r="AD42" s="44"/>
      <c r="AE42" s="44"/>
      <c r="AF42" s="45"/>
      <c r="AG42" s="45"/>
      <c r="AH42" s="45"/>
      <c r="AI42" s="45"/>
      <c r="AJ42" s="45"/>
      <c r="AK42" s="45"/>
      <c r="AM42" s="45"/>
      <c r="AN42" s="45"/>
      <c r="AO42" s="45"/>
      <c r="AP42" s="45"/>
      <c r="AQ42" s="45"/>
      <c r="AR42" s="45"/>
      <c r="AT42" s="47"/>
      <c r="AU42" s="149"/>
      <c r="AV42" s="51"/>
      <c r="AW42" s="149"/>
      <c r="AX42" s="51"/>
      <c r="AY42" s="51"/>
      <c r="BA42" s="45"/>
      <c r="BB42" s="45"/>
      <c r="BC42" s="45"/>
      <c r="BD42" s="45"/>
      <c r="BE42" s="45"/>
      <c r="BF42" s="45"/>
      <c r="BH42" s="45"/>
      <c r="BI42" s="45"/>
      <c r="BJ42" s="45"/>
      <c r="BK42" s="45"/>
      <c r="BL42" s="45"/>
      <c r="BM42" s="45"/>
      <c r="BO42" s="211">
        <f t="shared" si="24"/>
        <v>100000</v>
      </c>
      <c r="BP42" s="207" t="str">
        <f t="shared" si="52"/>
        <v>-MADVARER-</v>
      </c>
      <c r="BQ42" s="29">
        <f t="shared" si="25"/>
        <v>0</v>
      </c>
      <c r="BR42" s="29">
        <f t="shared" si="53"/>
        <v>100000</v>
      </c>
      <c r="BS42" s="29"/>
      <c r="BT42" s="29"/>
      <c r="BU42" s="29"/>
      <c r="BV42" s="44"/>
      <c r="BW42" s="212"/>
    </row>
    <row r="43" spans="1:75" x14ac:dyDescent="0.15">
      <c r="A43" s="474">
        <f t="shared" si="5"/>
        <v>39</v>
      </c>
      <c r="B43" s="19" t="s">
        <v>284</v>
      </c>
      <c r="C43" s="19">
        <v>1</v>
      </c>
      <c r="D43" s="27">
        <v>1.2749999999999999</v>
      </c>
      <c r="E43" s="25"/>
      <c r="F43" s="26">
        <v>8.3000000000000001E-3</v>
      </c>
      <c r="G43" s="25"/>
      <c r="H43" s="119">
        <v>0</v>
      </c>
      <c r="I43" s="74">
        <v>0</v>
      </c>
      <c r="J43" s="119">
        <v>0</v>
      </c>
      <c r="K43" s="74">
        <v>0</v>
      </c>
      <c r="L43" s="131"/>
      <c r="M43" s="74">
        <v>0</v>
      </c>
      <c r="O43" s="142">
        <f t="shared" si="18"/>
        <v>8.3000000000000001E-3</v>
      </c>
      <c r="P43" s="142">
        <f t="shared" si="19"/>
        <v>0</v>
      </c>
      <c r="Q43" s="142">
        <f t="shared" si="20"/>
        <v>0</v>
      </c>
      <c r="R43" s="142">
        <f t="shared" si="21"/>
        <v>-8.3000000000000001E-3</v>
      </c>
      <c r="S43" s="142">
        <f t="shared" si="22"/>
        <v>-8.3000000000000001E-3</v>
      </c>
      <c r="T43" s="142">
        <f t="shared" si="23"/>
        <v>0</v>
      </c>
      <c r="V43" s="29">
        <f ca="1">SUMIF(Effektmåling!$D$53:$E$57,'DB materialer'!B43,Effektmåling!$H$53:$H$57)</f>
        <v>0</v>
      </c>
      <c r="W43" s="477" t="str">
        <f ca="1">IF((V43*D43)=0,"",IF(Effektmåling!$Q$241="Ja",1.3*(V43*D43),V43*D43))</f>
        <v/>
      </c>
      <c r="X43" s="29" t="str">
        <f ca="1">IF(W43="","",RANK(W43,$W$7:$W$56,0)+COUNTIF($W$7:W43,W43)-1)</f>
        <v/>
      </c>
      <c r="Y43" s="29" t="str">
        <f t="shared" ref="Y43:Y52" ca="1" si="54">IF((V43*I43)=0,"",V43*I43)</f>
        <v/>
      </c>
      <c r="AA43" s="29">
        <f ca="1">$C$122*SUMIF(Effektmåling!$D$128:$E$132,'DB materialer'!$B43,Effektmåling!$I$128:$I$132)</f>
        <v>0</v>
      </c>
      <c r="AB43" s="30" t="str">
        <f ca="1">IF((AA43*D43)=0,"",IF(Effektmåling!$Q$241="Ja",1.3*(AA43*D43),AA43*D43))</f>
        <v/>
      </c>
      <c r="AC43" s="29" t="str">
        <f ca="1">IF(AB43="","",RANK(AB43,$AB$7:$AB$56,0)+COUNTIF($AB$7:AB43,AB43)-1)</f>
        <v/>
      </c>
      <c r="AD43" s="29">
        <f t="shared" ca="1" si="51"/>
        <v>0</v>
      </c>
      <c r="AE43" s="29"/>
      <c r="AF43" s="29" t="str">
        <f>IF((SUMIFS(Effektmåling!$J$178:$J$182,Effektmåling!$D$178:$D$182,$B43,$AH$120:$AH$124,'DB materialer'!AF$3))&lt;&gt;0,(SUMIFS(Effektmåling!$J$178:$J$182,Effektmåling!$D$178:$D$182,$B43,$AH$120:$AH$124,'DB materialer'!AF$3))*-O43,"")</f>
        <v/>
      </c>
      <c r="AG43" s="29" t="str">
        <f>IF((SUMIFS(Effektmåling!$J$178:$J$182,Effektmåling!$D$178:$D$182,$B43,$AH$120:$AH$124,'DB materialer'!AG$3))&lt;&gt;0,(SUMIFS(Effektmåling!$J$178:$J$182,Effektmåling!$D$178:$D$182,$B43,$AH$120:$AH$124,'DB materialer'!AG$3))*-P43,"")</f>
        <v/>
      </c>
      <c r="AH43" s="29" t="str">
        <f>IF((SUMIFS(Effektmåling!$J$178:$J$182,Effektmåling!$D$178:$D$182,$B43,$AH$120:$AH$124,'DB materialer'!AH$3))&lt;&gt;0,(SUMIFS(Effektmåling!$J$178:$J$182,Effektmåling!$D$178:$D$182,$B43,$AH$120:$AH$124,'DB materialer'!AH$3))*-Q43,"")</f>
        <v/>
      </c>
      <c r="AI43" s="29" t="str">
        <f>IF((SUMIFS(Effektmåling!$J$178:$J$182,Effektmåling!$D$178:$D$182,$B43,$AH$120:$AH$124,'DB materialer'!AI$3))&lt;&gt;0,(SUMIFS(Effektmåling!$J$178:$J$182,Effektmåling!$D$178:$D$182,$B43,$AH$120:$AH$124,'DB materialer'!AI$3))*-R43,"")</f>
        <v/>
      </c>
      <c r="AJ43" s="29" t="str">
        <f>IF((SUMIFS(Effektmåling!$J$178:$J$182,Effektmåling!$D$178:$D$182,$B43,$AH$120:$AH$124,'DB materialer'!AJ$3))&lt;&gt;0,(SUMIFS(Effektmåling!$J$178:$J$182,Effektmåling!$D$178:$D$182,$B43,$AH$120:$AH$124,'DB materialer'!AJ$3))*-S43,"")</f>
        <v/>
      </c>
      <c r="AK43" s="29" t="str">
        <f>IF((SUMIFS(Effektmåling!$J$178:$J$182,Effektmåling!$D$178:$D$182,$B43,$AH$120:$AH$124,'DB materialer'!AK$3))&lt;&gt;0,(SUMIFS(Effektmåling!$J$178:$J$182,Effektmåling!$D$178:$D$182,$B43,$AH$120:$AH$124,'DB materialer'!AK$3))*-T43,"")</f>
        <v/>
      </c>
      <c r="AM43" s="29" t="str">
        <f>IF((SUMIFS(Effektmåling!$J$163:$J$167,Effektmåling!$D$163:$D$167,$B43,$AO$120:$AO$124,'DB materialer'!AM$3))&lt;&gt;0,(SUMIFS(Effektmåling!$J$163:$J$167,Effektmåling!$D$163:$D$167,$B43,$AO$120:$AO$124,'DB materialer'!AM$3))*(-O43)*($C$122),"")</f>
        <v/>
      </c>
      <c r="AN43" s="29" t="str">
        <f>IF((SUMIFS(Effektmåling!$J$163:$J$167,Effektmåling!$D$163:$D$167,$B43,$AO$120:$AO$124,'DB materialer'!AN$3))&lt;&gt;0,(SUMIFS(Effektmåling!$J$163:$J$167,Effektmåling!$D$163:$D$167,$B43,$AO$120:$AO$124,'DB materialer'!AN$3))*(-P43)*($C$122),"")</f>
        <v/>
      </c>
      <c r="AO43" s="29" t="str">
        <f>IF((SUMIFS(Effektmåling!$J$163:$J$167,Effektmåling!$D$163:$D$167,$B43,$AO$120:$AO$124,'DB materialer'!AO$3))&lt;&gt;0,(SUMIFS(Effektmåling!$J$163:$J$167,Effektmåling!$D$163:$D$167,$B43,$AO$120:$AO$124,'DB materialer'!AO$3))*(-Q43)*($C$122),"")</f>
        <v/>
      </c>
      <c r="AP43" s="29" t="str">
        <f>IF((SUMIFS(Effektmåling!$J$163:$J$167,Effektmåling!$D$163:$D$167,$B43,$AO$120:$AO$124,'DB materialer'!AP$3))&lt;&gt;0,(SUMIFS(Effektmåling!$J$163:$J$167,Effektmåling!$D$163:$D$167,$B43,$AO$120:$AO$124,'DB materialer'!AP$3))*(-R43)*($C$122),"")</f>
        <v/>
      </c>
      <c r="AQ43" s="29" t="str">
        <f>IF((SUMIFS(Effektmåling!$J$163:$J$167,Effektmåling!$D$163:$D$167,$B43,$AO$120:$AO$124,'DB materialer'!AQ$3))&lt;&gt;0,(SUMIFS(Effektmåling!$J$163:$J$167,Effektmåling!$D$163:$D$167,$B43,$AO$120:$AO$124,'DB materialer'!AQ$3))*(-S43)*($C$122),"")</f>
        <v/>
      </c>
      <c r="AR43" s="29" t="str">
        <f>IF((SUMIFS(Effektmåling!$J$163:$J$167,Effektmåling!$D$163:$D$167,$B43,$AO$120:$AO$124,'DB materialer'!AR$3))&lt;&gt;0,(SUMIFS(Effektmåling!$J$163:$J$167,Effektmåling!$D$163:$D$167,$B43,$AO$120:$AO$124,'DB materialer'!AR$3))*(-T43)*($C$122),"")</f>
        <v/>
      </c>
      <c r="AT43" s="30">
        <f t="shared" ref="AT43:AT52" si="55">IF((K43-J43)=0,1E-30,K43-J43)</f>
        <v>1.0000000000000001E-30</v>
      </c>
      <c r="AU43" s="40">
        <f t="shared" ref="AU43:AU52" si="56">IF((L43-J43)=0,1E-30,L43-J43)</f>
        <v>1.0000000000000001E-30</v>
      </c>
      <c r="AV43" s="41">
        <f t="shared" ref="AV43:AV52" si="57">IF((M43-J43)=0,1E-30,M43-J43)</f>
        <v>1.0000000000000001E-30</v>
      </c>
      <c r="AW43" s="40">
        <f t="shared" ref="AW43:AW52" si="58">IF((L43-K43)=0,1E-30,L43-K43)</f>
        <v>1.0000000000000001E-30</v>
      </c>
      <c r="AX43" s="41">
        <f t="shared" ref="AX43:AX52" si="59">IF((M43-K43)=0,1E-30,M43-K43)</f>
        <v>1.0000000000000001E-30</v>
      </c>
      <c r="AY43" s="41">
        <f t="shared" ref="AY43:AY52" si="60">IF((M43-L43)=0,1E-30,M43-L43)</f>
        <v>1.0000000000000001E-30</v>
      </c>
      <c r="BA43" s="29" t="str">
        <f>IF((SUMIFS(Effektmåling!$J$178:$J$182,Effektmåling!$D$178:$D$182,$B43,$AH$120:$AH$124,BA$3))&lt;&gt;0,(SUMIFS(Effektmåling!$J$178:$J$182,Effektmåling!$D$178:$D$182,$B43,$AH$120:$AH$124,BA$3))*-AT43,"")</f>
        <v/>
      </c>
      <c r="BB43" s="29" t="str">
        <f>IF((SUMIFS(Effektmåling!$J$178:$J$182,Effektmåling!$D$178:$D$182,$B43,$AH$120:$AH$124,BB$3))&lt;&gt;0,(SUMIFS(Effektmåling!$J$178:$J$182,Effektmåling!$D$178:$D$182,$B43,$AH$120:$AH$124,BB$3))*-AU43,"")</f>
        <v/>
      </c>
      <c r="BC43" s="29" t="str">
        <f>IF((SUMIFS(Effektmåling!$J$178:$J$182,Effektmåling!$D$178:$D$182,$B43,$AH$120:$AH$124,BC$3))&lt;&gt;0,(SUMIFS(Effektmåling!$J$178:$J$182,Effektmåling!$D$178:$D$182,$B43,$AH$120:$AH$124,BC$3))*-AV43,"")</f>
        <v/>
      </c>
      <c r="BD43" s="29" t="str">
        <f>IF((SUMIFS(Effektmåling!$J$178:$J$182,Effektmåling!$D$178:$D$182,$B43,$AH$120:$AH$124,BD$3))&lt;&gt;0,(SUMIFS(Effektmåling!$J$178:$J$182,Effektmåling!$D$178:$D$182,$B43,$AH$120:$AH$124,BD$3))*-AW43,"")</f>
        <v/>
      </c>
      <c r="BE43" s="29" t="str">
        <f>IF((SUMIFS(Effektmåling!$J$178:$J$182,Effektmåling!$D$178:$D$182,$B43,$AH$120:$AH$124,BE$3))&lt;&gt;0,(SUMIFS(Effektmåling!$J$178:$J$182,Effektmåling!$D$178:$D$182,$B43,$AH$120:$AH$124,BE$3))*-AX43,"")</f>
        <v/>
      </c>
      <c r="BF43" s="29" t="str">
        <f>IF((SUMIFS(Effektmåling!$J$178:$J$182,Effektmåling!$D$178:$D$182,$B43,$AH$120:$AH$124,BF$3))&lt;&gt;0,(SUMIFS(Effektmåling!$J$178:$J$182,Effektmåling!$D$178:$D$182,$B43,$AH$120:$AH$124,BF$3))*-AY43,"")</f>
        <v/>
      </c>
      <c r="BH43" s="29" t="str">
        <f>IF((SUMIFS(Effektmåling!$J$163:$J$167,Effektmåling!$D$163:$D$167,$B43,$AO$120:$AO$124,BH$3))&lt;&gt;0,(SUMIFS(Effektmåling!$J$163:$J$167,Effektmåling!$D$163:$D$167,$B43,$AO$120:$AO$124,BH$3))*-AT43,"")</f>
        <v/>
      </c>
      <c r="BI43" s="29" t="str">
        <f>IF((SUMIFS(Effektmåling!$J$163:$J$167,Effektmåling!$D$163:$D$167,$B43,$AO$120:$AO$124,BI$3))&lt;&gt;0,(SUMIFS(Effektmåling!$J$163:$J$167,Effektmåling!$D$163:$D$167,$B43,$AO$120:$AO$124,BI$3))*-AU43,"")</f>
        <v/>
      </c>
      <c r="BJ43" s="29" t="str">
        <f>IF((SUMIFS(Effektmåling!$J$163:$J$167,Effektmåling!$D$163:$D$167,$B43,$AO$120:$AO$124,BJ$3))&lt;&gt;0,(SUMIFS(Effektmåling!$J$163:$J$167,Effektmåling!$D$163:$D$167,$B43,$AO$120:$AO$124,BJ$3))*-AV43,"")</f>
        <v/>
      </c>
      <c r="BK43" s="29" t="str">
        <f>IF((SUMIFS(Effektmåling!$J$163:$J$167,Effektmåling!$D$163:$D$167,$B43,$AO$120:$AO$124,BK$3))&lt;&gt;0,(SUMIFS(Effektmåling!$J$163:$J$167,Effektmåling!$D$163:$D$167,$B43,$AO$120:$AO$124,BK$3))*-AW43,"")</f>
        <v/>
      </c>
      <c r="BL43" s="29" t="str">
        <f>IF((SUMIFS(Effektmåling!$J$163:$J$167,Effektmåling!$D$163:$D$167,$B43,$AO$120:$AO$124,BL$3))&lt;&gt;0,(SUMIFS(Effektmåling!$J$163:$J$167,Effektmåling!$D$163:$D$167,$B43,$AO$120:$AO$124,BL$3))*-AX43,"")</f>
        <v/>
      </c>
      <c r="BM43" s="29" t="str">
        <f>IF((SUMIFS(Effektmåling!$J$163:$J$167,Effektmåling!$D$163:$D$167,$B43,$AO$120:$AO$124,BM$3))&lt;&gt;0,(SUMIFS(Effektmåling!$J$163:$J$167,Effektmåling!$D$163:$D$167,$B43,$AO$120:$AO$124,BM$3))*-AY43,"")</f>
        <v/>
      </c>
      <c r="BO43" s="211">
        <f t="shared" ca="1" si="24"/>
        <v>100000</v>
      </c>
      <c r="BP43" s="207" t="str">
        <f t="shared" si="52"/>
        <v>Brød</v>
      </c>
      <c r="BQ43" s="29">
        <f t="shared" ca="1" si="25"/>
        <v>0</v>
      </c>
      <c r="BR43" s="29">
        <f t="shared" ca="1" si="53"/>
        <v>100000</v>
      </c>
      <c r="BS43" s="29"/>
      <c r="BT43" s="29"/>
      <c r="BU43" s="29"/>
      <c r="BV43" s="29"/>
      <c r="BW43" s="212"/>
    </row>
    <row r="44" spans="1:75" ht="21" x14ac:dyDescent="0.15">
      <c r="A44" s="474">
        <f t="shared" si="5"/>
        <v>40</v>
      </c>
      <c r="B44" s="19" t="s">
        <v>285</v>
      </c>
      <c r="C44" s="19">
        <v>1</v>
      </c>
      <c r="D44" s="27">
        <v>0.8</v>
      </c>
      <c r="E44" s="25"/>
      <c r="F44" s="26">
        <v>8.3000000000000001E-3</v>
      </c>
      <c r="G44" s="25"/>
      <c r="H44" s="119">
        <v>0</v>
      </c>
      <c r="I44" s="74">
        <v>0</v>
      </c>
      <c r="J44" s="119">
        <v>0</v>
      </c>
      <c r="K44" s="74">
        <v>0</v>
      </c>
      <c r="L44" s="131"/>
      <c r="M44" s="74">
        <v>0</v>
      </c>
      <c r="O44" s="142">
        <f t="shared" si="18"/>
        <v>8.3000000000000001E-3</v>
      </c>
      <c r="P44" s="142">
        <f t="shared" si="19"/>
        <v>0</v>
      </c>
      <c r="Q44" s="142">
        <f t="shared" si="20"/>
        <v>0</v>
      </c>
      <c r="R44" s="142">
        <f t="shared" si="21"/>
        <v>-8.3000000000000001E-3</v>
      </c>
      <c r="S44" s="142">
        <f t="shared" si="22"/>
        <v>-8.3000000000000001E-3</v>
      </c>
      <c r="T44" s="142">
        <f t="shared" si="23"/>
        <v>0</v>
      </c>
      <c r="V44" s="29">
        <f ca="1">SUMIF(Effektmåling!$D$53:$E$57,'DB materialer'!B44,Effektmåling!$H$53:$H$57)</f>
        <v>0</v>
      </c>
      <c r="W44" s="477" t="str">
        <f ca="1">IF((V44*D44)=0,"",IF(Effektmåling!$Q$241="Ja",1.3*(V44*D44),V44*D44))</f>
        <v/>
      </c>
      <c r="X44" s="29" t="str">
        <f ca="1">IF(W44="","",RANK(W44,$W$7:$W$56,0)+COUNTIF($W$7:W44,W44)-1)</f>
        <v/>
      </c>
      <c r="Y44" s="29" t="str">
        <f t="shared" ca="1" si="54"/>
        <v/>
      </c>
      <c r="AA44" s="29">
        <f ca="1">$C$122*SUMIF(Effektmåling!$D$128:$E$132,'DB materialer'!$B44,Effektmåling!$I$128:$I$132)</f>
        <v>0</v>
      </c>
      <c r="AB44" s="477" t="str">
        <f ca="1">IF((AA44*D44)=0,"",IF(Effektmåling!$Q$241="Ja",1.3*(AA44*D44),AA44*D44))</f>
        <v/>
      </c>
      <c r="AC44" s="29" t="str">
        <f ca="1">IF(AB44="","",RANK(AB44,$AB$7:$AB$56,0)+COUNTIF($AB$7:AB44,AB44)-1)</f>
        <v/>
      </c>
      <c r="AD44" s="29">
        <f t="shared" ca="1" si="51"/>
        <v>0</v>
      </c>
      <c r="AE44" s="29"/>
      <c r="AF44" s="29" t="str">
        <f>IF((SUMIFS(Effektmåling!$J$178:$J$182,Effektmåling!$D$178:$D$182,$B44,$AH$120:$AH$124,'DB materialer'!AF$3))&lt;&gt;0,(SUMIFS(Effektmåling!$J$178:$J$182,Effektmåling!$D$178:$D$182,$B44,$AH$120:$AH$124,'DB materialer'!AF$3))*-O44,"")</f>
        <v/>
      </c>
      <c r="AG44" s="29" t="str">
        <f>IF((SUMIFS(Effektmåling!$J$178:$J$182,Effektmåling!$D$178:$D$182,$B44,$AH$120:$AH$124,'DB materialer'!AG$3))&lt;&gt;0,(SUMIFS(Effektmåling!$J$178:$J$182,Effektmåling!$D$178:$D$182,$B44,$AH$120:$AH$124,'DB materialer'!AG$3))*-P44,"")</f>
        <v/>
      </c>
      <c r="AH44" s="29" t="str">
        <f>IF((SUMIFS(Effektmåling!$J$178:$J$182,Effektmåling!$D$178:$D$182,$B44,$AH$120:$AH$124,'DB materialer'!AH$3))&lt;&gt;0,(SUMIFS(Effektmåling!$J$178:$J$182,Effektmåling!$D$178:$D$182,$B44,$AH$120:$AH$124,'DB materialer'!AH$3))*-Q44,"")</f>
        <v/>
      </c>
      <c r="AI44" s="29" t="str">
        <f>IF((SUMIFS(Effektmåling!$J$178:$J$182,Effektmåling!$D$178:$D$182,$B44,$AH$120:$AH$124,'DB materialer'!AI$3))&lt;&gt;0,(SUMIFS(Effektmåling!$J$178:$J$182,Effektmåling!$D$178:$D$182,$B44,$AH$120:$AH$124,'DB materialer'!AI$3))*-R44,"")</f>
        <v/>
      </c>
      <c r="AJ44" s="29" t="str">
        <f>IF((SUMIFS(Effektmåling!$J$178:$J$182,Effektmåling!$D$178:$D$182,$B44,$AH$120:$AH$124,'DB materialer'!AJ$3))&lt;&gt;0,(SUMIFS(Effektmåling!$J$178:$J$182,Effektmåling!$D$178:$D$182,$B44,$AH$120:$AH$124,'DB materialer'!AJ$3))*-S44,"")</f>
        <v/>
      </c>
      <c r="AK44" s="29" t="str">
        <f>IF((SUMIFS(Effektmåling!$J$178:$J$182,Effektmåling!$D$178:$D$182,$B44,$AH$120:$AH$124,'DB materialer'!AK$3))&lt;&gt;0,(SUMIFS(Effektmåling!$J$178:$J$182,Effektmåling!$D$178:$D$182,$B44,$AH$120:$AH$124,'DB materialer'!AK$3))*-T44,"")</f>
        <v/>
      </c>
      <c r="AM44" s="29" t="str">
        <f>IF((SUMIFS(Effektmåling!$J$163:$J$167,Effektmåling!$D$163:$D$167,$B44,$AO$120:$AO$124,'DB materialer'!AM$3))&lt;&gt;0,(SUMIFS(Effektmåling!$J$163:$J$167,Effektmåling!$D$163:$D$167,$B44,$AO$120:$AO$124,'DB materialer'!AM$3))*(-O44)*($C$122),"")</f>
        <v/>
      </c>
      <c r="AN44" s="29" t="str">
        <f>IF((SUMIFS(Effektmåling!$J$163:$J$167,Effektmåling!$D$163:$D$167,$B44,$AO$120:$AO$124,'DB materialer'!AN$3))&lt;&gt;0,(SUMIFS(Effektmåling!$J$163:$J$167,Effektmåling!$D$163:$D$167,$B44,$AO$120:$AO$124,'DB materialer'!AN$3))*(-P44)*($C$122),"")</f>
        <v/>
      </c>
      <c r="AO44" s="29" t="str">
        <f>IF((SUMIFS(Effektmåling!$J$163:$J$167,Effektmåling!$D$163:$D$167,$B44,$AO$120:$AO$124,'DB materialer'!AO$3))&lt;&gt;0,(SUMIFS(Effektmåling!$J$163:$J$167,Effektmåling!$D$163:$D$167,$B44,$AO$120:$AO$124,'DB materialer'!AO$3))*(-Q44)*($C$122),"")</f>
        <v/>
      </c>
      <c r="AP44" s="29" t="str">
        <f>IF((SUMIFS(Effektmåling!$J$163:$J$167,Effektmåling!$D$163:$D$167,$B44,$AO$120:$AO$124,'DB materialer'!AP$3))&lt;&gt;0,(SUMIFS(Effektmåling!$J$163:$J$167,Effektmåling!$D$163:$D$167,$B44,$AO$120:$AO$124,'DB materialer'!AP$3))*(-R44)*($C$122),"")</f>
        <v/>
      </c>
      <c r="AQ44" s="29" t="str">
        <f>IF((SUMIFS(Effektmåling!$J$163:$J$167,Effektmåling!$D$163:$D$167,$B44,$AO$120:$AO$124,'DB materialer'!AQ$3))&lt;&gt;0,(SUMIFS(Effektmåling!$J$163:$J$167,Effektmåling!$D$163:$D$167,$B44,$AO$120:$AO$124,'DB materialer'!AQ$3))*(-S44)*($C$122),"")</f>
        <v/>
      </c>
      <c r="AR44" s="29" t="str">
        <f>IF((SUMIFS(Effektmåling!$J$163:$J$167,Effektmåling!$D$163:$D$167,$B44,$AO$120:$AO$124,'DB materialer'!AR$3))&lt;&gt;0,(SUMIFS(Effektmåling!$J$163:$J$167,Effektmåling!$D$163:$D$167,$B44,$AO$120:$AO$124,'DB materialer'!AR$3))*(-T44)*($C$122),"")</f>
        <v/>
      </c>
      <c r="AT44" s="30">
        <f t="shared" si="55"/>
        <v>1.0000000000000001E-30</v>
      </c>
      <c r="AU44" s="40">
        <f t="shared" si="56"/>
        <v>1.0000000000000001E-30</v>
      </c>
      <c r="AV44" s="41">
        <f t="shared" si="57"/>
        <v>1.0000000000000001E-30</v>
      </c>
      <c r="AW44" s="40">
        <f t="shared" si="58"/>
        <v>1.0000000000000001E-30</v>
      </c>
      <c r="AX44" s="41">
        <f t="shared" si="59"/>
        <v>1.0000000000000001E-30</v>
      </c>
      <c r="AY44" s="41">
        <f t="shared" si="60"/>
        <v>1.0000000000000001E-30</v>
      </c>
      <c r="BA44" s="29" t="str">
        <f>IF((SUMIFS(Effektmåling!$J$178:$J$182,Effektmåling!$D$178:$D$182,$B44,$AH$120:$AH$124,BA$3))&lt;&gt;0,(SUMIFS(Effektmåling!$J$178:$J$182,Effektmåling!$D$178:$D$182,$B44,$AH$120:$AH$124,BA$3))*-AT44,"")</f>
        <v/>
      </c>
      <c r="BB44" s="29" t="str">
        <f>IF((SUMIFS(Effektmåling!$J$178:$J$182,Effektmåling!$D$178:$D$182,$B44,$AH$120:$AH$124,BB$3))&lt;&gt;0,(SUMIFS(Effektmåling!$J$178:$J$182,Effektmåling!$D$178:$D$182,$B44,$AH$120:$AH$124,BB$3))*-AU44,"")</f>
        <v/>
      </c>
      <c r="BC44" s="29" t="str">
        <f>IF((SUMIFS(Effektmåling!$J$178:$J$182,Effektmåling!$D$178:$D$182,$B44,$AH$120:$AH$124,BC$3))&lt;&gt;0,(SUMIFS(Effektmåling!$J$178:$J$182,Effektmåling!$D$178:$D$182,$B44,$AH$120:$AH$124,BC$3))*-AV44,"")</f>
        <v/>
      </c>
      <c r="BD44" s="29" t="str">
        <f>IF((SUMIFS(Effektmåling!$J$178:$J$182,Effektmåling!$D$178:$D$182,$B44,$AH$120:$AH$124,BD$3))&lt;&gt;0,(SUMIFS(Effektmåling!$J$178:$J$182,Effektmåling!$D$178:$D$182,$B44,$AH$120:$AH$124,BD$3))*-AW44,"")</f>
        <v/>
      </c>
      <c r="BE44" s="29" t="str">
        <f>IF((SUMIFS(Effektmåling!$J$178:$J$182,Effektmåling!$D$178:$D$182,$B44,$AH$120:$AH$124,BE$3))&lt;&gt;0,(SUMIFS(Effektmåling!$J$178:$J$182,Effektmåling!$D$178:$D$182,$B44,$AH$120:$AH$124,BE$3))*-AX44,"")</f>
        <v/>
      </c>
      <c r="BF44" s="29" t="str">
        <f>IF((SUMIFS(Effektmåling!$J$178:$J$182,Effektmåling!$D$178:$D$182,$B44,$AH$120:$AH$124,BF$3))&lt;&gt;0,(SUMIFS(Effektmåling!$J$178:$J$182,Effektmåling!$D$178:$D$182,$B44,$AH$120:$AH$124,BF$3))*-AY44,"")</f>
        <v/>
      </c>
      <c r="BH44" s="29" t="str">
        <f>IF((SUMIFS(Effektmåling!$J$163:$J$167,Effektmåling!$D$163:$D$167,$B44,$AO$120:$AO$124,BH$3))&lt;&gt;0,(SUMIFS(Effektmåling!$J$163:$J$167,Effektmåling!$D$163:$D$167,$B44,$AO$120:$AO$124,BH$3))*-AT44,"")</f>
        <v/>
      </c>
      <c r="BI44" s="29" t="str">
        <f>IF((SUMIFS(Effektmåling!$J$163:$J$167,Effektmåling!$D$163:$D$167,$B44,$AO$120:$AO$124,BI$3))&lt;&gt;0,(SUMIFS(Effektmåling!$J$163:$J$167,Effektmåling!$D$163:$D$167,$B44,$AO$120:$AO$124,BI$3))*-AU44,"")</f>
        <v/>
      </c>
      <c r="BJ44" s="29" t="str">
        <f>IF((SUMIFS(Effektmåling!$J$163:$J$167,Effektmåling!$D$163:$D$167,$B44,$AO$120:$AO$124,BJ$3))&lt;&gt;0,(SUMIFS(Effektmåling!$J$163:$J$167,Effektmåling!$D$163:$D$167,$B44,$AO$120:$AO$124,BJ$3))*-AV44,"")</f>
        <v/>
      </c>
      <c r="BK44" s="29" t="str">
        <f>IF((SUMIFS(Effektmåling!$J$163:$J$167,Effektmåling!$D$163:$D$167,$B44,$AO$120:$AO$124,BK$3))&lt;&gt;0,(SUMIFS(Effektmåling!$J$163:$J$167,Effektmåling!$D$163:$D$167,$B44,$AO$120:$AO$124,BK$3))*-AW44,"")</f>
        <v/>
      </c>
      <c r="BL44" s="29" t="str">
        <f>IF((SUMIFS(Effektmåling!$J$163:$J$167,Effektmåling!$D$163:$D$167,$B44,$AO$120:$AO$124,BL$3))&lt;&gt;0,(SUMIFS(Effektmåling!$J$163:$J$167,Effektmåling!$D$163:$D$167,$B44,$AO$120:$AO$124,BL$3))*-AX44,"")</f>
        <v/>
      </c>
      <c r="BM44" s="29" t="str">
        <f>IF((SUMIFS(Effektmåling!$J$163:$J$167,Effektmåling!$D$163:$D$167,$B44,$AO$120:$AO$124,BM$3))&lt;&gt;0,(SUMIFS(Effektmåling!$J$163:$J$167,Effektmåling!$D$163:$D$167,$B44,$AO$120:$AO$124,BM$3))*-AY44,"")</f>
        <v/>
      </c>
      <c r="BO44" s="211">
        <f t="shared" ca="1" si="24"/>
        <v>100000</v>
      </c>
      <c r="BP44" s="207" t="str">
        <f t="shared" si="52"/>
        <v>Frugt og Grønt</v>
      </c>
      <c r="BQ44" s="29">
        <f t="shared" ca="1" si="25"/>
        <v>0</v>
      </c>
      <c r="BR44" s="29">
        <f t="shared" ca="1" si="53"/>
        <v>100000</v>
      </c>
      <c r="BS44" s="29"/>
      <c r="BT44" s="29"/>
      <c r="BU44" s="29"/>
      <c r="BV44" s="29"/>
      <c r="BW44" s="212"/>
    </row>
    <row r="45" spans="1:75" x14ac:dyDescent="0.15">
      <c r="A45" s="474">
        <f t="shared" si="5"/>
        <v>41</v>
      </c>
      <c r="B45" s="19" t="s">
        <v>286</v>
      </c>
      <c r="C45" s="19">
        <v>1</v>
      </c>
      <c r="D45" s="27">
        <v>0.30599999999999999</v>
      </c>
      <c r="E45" s="25"/>
      <c r="F45" s="26">
        <v>8.3000000000000001E-3</v>
      </c>
      <c r="G45" s="25"/>
      <c r="H45" s="119">
        <v>0</v>
      </c>
      <c r="I45" s="74">
        <v>0</v>
      </c>
      <c r="J45" s="119">
        <v>0</v>
      </c>
      <c r="K45" s="74">
        <v>0</v>
      </c>
      <c r="L45" s="131"/>
      <c r="M45" s="74">
        <v>0</v>
      </c>
      <c r="O45" s="142">
        <f t="shared" si="18"/>
        <v>8.3000000000000001E-3</v>
      </c>
      <c r="P45" s="142">
        <f t="shared" si="19"/>
        <v>0</v>
      </c>
      <c r="Q45" s="142">
        <f t="shared" si="20"/>
        <v>0</v>
      </c>
      <c r="R45" s="142">
        <f t="shared" si="21"/>
        <v>-8.3000000000000001E-3</v>
      </c>
      <c r="S45" s="142">
        <f t="shared" si="22"/>
        <v>-8.3000000000000001E-3</v>
      </c>
      <c r="T45" s="142">
        <f t="shared" si="23"/>
        <v>0</v>
      </c>
      <c r="V45" s="29">
        <f ca="1">SUMIF(Effektmåling!$D$53:$E$57,'DB materialer'!B45,Effektmåling!$H$53:$H$57)</f>
        <v>0</v>
      </c>
      <c r="W45" s="477" t="str">
        <f ca="1">IF((V45*D45)=0,"",IF(Effektmåling!$Q$241="Ja",1.3*(V45*D45),V45*D45))</f>
        <v/>
      </c>
      <c r="X45" s="29" t="str">
        <f ca="1">IF(W45="","",RANK(W45,$W$7:$W$56,0)+COUNTIF($W$7:W45,W45)-1)</f>
        <v/>
      </c>
      <c r="Y45" s="29" t="str">
        <f t="shared" ca="1" si="54"/>
        <v/>
      </c>
      <c r="AA45" s="29">
        <f ca="1">$C$122*SUMIF(Effektmåling!$D$128:$E$132,'DB materialer'!$B45,Effektmåling!$I$128:$I$132)</f>
        <v>0</v>
      </c>
      <c r="AB45" s="477" t="str">
        <f ca="1">IF((AA45*D45)=0,"",IF(Effektmåling!$Q$241="Ja",1.3*(AA45*D45),AA45*D45))</f>
        <v/>
      </c>
      <c r="AC45" s="29" t="str">
        <f ca="1">IF(AB45="","",RANK(AB45,$AB$7:$AB$56,0)+COUNTIF($AB$7:AB45,AB45)-1)</f>
        <v/>
      </c>
      <c r="AD45" s="29">
        <f t="shared" ca="1" si="51"/>
        <v>0</v>
      </c>
      <c r="AE45" s="29"/>
      <c r="AF45" s="29" t="str">
        <f>IF((SUMIFS(Effektmåling!$J$178:$J$182,Effektmåling!$D$178:$D$182,$B45,$AH$120:$AH$124,'DB materialer'!AF$3))&lt;&gt;0,(SUMIFS(Effektmåling!$J$178:$J$182,Effektmåling!$D$178:$D$182,$B45,$AH$120:$AH$124,'DB materialer'!AF$3))*-O45,"")</f>
        <v/>
      </c>
      <c r="AG45" s="29" t="str">
        <f>IF((SUMIFS(Effektmåling!$J$178:$J$182,Effektmåling!$D$178:$D$182,$B45,$AH$120:$AH$124,'DB materialer'!AG$3))&lt;&gt;0,(SUMIFS(Effektmåling!$J$178:$J$182,Effektmåling!$D$178:$D$182,$B45,$AH$120:$AH$124,'DB materialer'!AG$3))*-P45,"")</f>
        <v/>
      </c>
      <c r="AH45" s="29" t="str">
        <f>IF((SUMIFS(Effektmåling!$J$178:$J$182,Effektmåling!$D$178:$D$182,$B45,$AH$120:$AH$124,'DB materialer'!AH$3))&lt;&gt;0,(SUMIFS(Effektmåling!$J$178:$J$182,Effektmåling!$D$178:$D$182,$B45,$AH$120:$AH$124,'DB materialer'!AH$3))*-Q45,"")</f>
        <v/>
      </c>
      <c r="AI45" s="29" t="str">
        <f>IF((SUMIFS(Effektmåling!$J$178:$J$182,Effektmåling!$D$178:$D$182,$B45,$AH$120:$AH$124,'DB materialer'!AI$3))&lt;&gt;0,(SUMIFS(Effektmåling!$J$178:$J$182,Effektmåling!$D$178:$D$182,$B45,$AH$120:$AH$124,'DB materialer'!AI$3))*-R45,"")</f>
        <v/>
      </c>
      <c r="AJ45" s="29" t="str">
        <f>IF((SUMIFS(Effektmåling!$J$178:$J$182,Effektmåling!$D$178:$D$182,$B45,$AH$120:$AH$124,'DB materialer'!AJ$3))&lt;&gt;0,(SUMIFS(Effektmåling!$J$178:$J$182,Effektmåling!$D$178:$D$182,$B45,$AH$120:$AH$124,'DB materialer'!AJ$3))*-S45,"")</f>
        <v/>
      </c>
      <c r="AK45" s="29" t="str">
        <f>IF((SUMIFS(Effektmåling!$J$178:$J$182,Effektmåling!$D$178:$D$182,$B45,$AH$120:$AH$124,'DB materialer'!AK$3))&lt;&gt;0,(SUMIFS(Effektmåling!$J$178:$J$182,Effektmåling!$D$178:$D$182,$B45,$AH$120:$AH$124,'DB materialer'!AK$3))*-T45,"")</f>
        <v/>
      </c>
      <c r="AM45" s="29" t="str">
        <f>IF((SUMIFS(Effektmåling!$J$163:$J$167,Effektmåling!$D$163:$D$167,$B45,$AO$120:$AO$124,'DB materialer'!AM$3))&lt;&gt;0,(SUMIFS(Effektmåling!$J$163:$J$167,Effektmåling!$D$163:$D$167,$B45,$AO$120:$AO$124,'DB materialer'!AM$3))*(-O45)*($C$122),"")</f>
        <v/>
      </c>
      <c r="AN45" s="29" t="str">
        <f>IF((SUMIFS(Effektmåling!$J$163:$J$167,Effektmåling!$D$163:$D$167,$B45,$AO$120:$AO$124,'DB materialer'!AN$3))&lt;&gt;0,(SUMIFS(Effektmåling!$J$163:$J$167,Effektmåling!$D$163:$D$167,$B45,$AO$120:$AO$124,'DB materialer'!AN$3))*(-P45)*($C$122),"")</f>
        <v/>
      </c>
      <c r="AO45" s="29" t="str">
        <f>IF((SUMIFS(Effektmåling!$J$163:$J$167,Effektmåling!$D$163:$D$167,$B45,$AO$120:$AO$124,'DB materialer'!AO$3))&lt;&gt;0,(SUMIFS(Effektmåling!$J$163:$J$167,Effektmåling!$D$163:$D$167,$B45,$AO$120:$AO$124,'DB materialer'!AO$3))*(-Q45)*($C$122),"")</f>
        <v/>
      </c>
      <c r="AP45" s="29" t="str">
        <f>IF((SUMIFS(Effektmåling!$J$163:$J$167,Effektmåling!$D$163:$D$167,$B45,$AO$120:$AO$124,'DB materialer'!AP$3))&lt;&gt;0,(SUMIFS(Effektmåling!$J$163:$J$167,Effektmåling!$D$163:$D$167,$B45,$AO$120:$AO$124,'DB materialer'!AP$3))*(-R45)*($C$122),"")</f>
        <v/>
      </c>
      <c r="AQ45" s="29" t="str">
        <f>IF((SUMIFS(Effektmåling!$J$163:$J$167,Effektmåling!$D$163:$D$167,$B45,$AO$120:$AO$124,'DB materialer'!AQ$3))&lt;&gt;0,(SUMIFS(Effektmåling!$J$163:$J$167,Effektmåling!$D$163:$D$167,$B45,$AO$120:$AO$124,'DB materialer'!AQ$3))*(-S45)*($C$122),"")</f>
        <v/>
      </c>
      <c r="AR45" s="29" t="str">
        <f>IF((SUMIFS(Effektmåling!$J$163:$J$167,Effektmåling!$D$163:$D$167,$B45,$AO$120:$AO$124,'DB materialer'!AR$3))&lt;&gt;0,(SUMIFS(Effektmåling!$J$163:$J$167,Effektmåling!$D$163:$D$167,$B45,$AO$120:$AO$124,'DB materialer'!AR$3))*(-T45)*($C$122),"")</f>
        <v/>
      </c>
      <c r="AT45" s="30">
        <f t="shared" si="55"/>
        <v>1.0000000000000001E-30</v>
      </c>
      <c r="AU45" s="40">
        <f t="shared" si="56"/>
        <v>1.0000000000000001E-30</v>
      </c>
      <c r="AV45" s="41">
        <f t="shared" si="57"/>
        <v>1.0000000000000001E-30</v>
      </c>
      <c r="AW45" s="40">
        <f t="shared" si="58"/>
        <v>1.0000000000000001E-30</v>
      </c>
      <c r="AX45" s="41">
        <f t="shared" si="59"/>
        <v>1.0000000000000001E-30</v>
      </c>
      <c r="AY45" s="41">
        <f t="shared" si="60"/>
        <v>1.0000000000000001E-30</v>
      </c>
      <c r="BA45" s="29" t="str">
        <f>IF((SUMIFS(Effektmåling!$J$178:$J$182,Effektmåling!$D$178:$D$182,$B45,$AH$120:$AH$124,BA$3))&lt;&gt;0,(SUMIFS(Effektmåling!$J$178:$J$182,Effektmåling!$D$178:$D$182,$B45,$AH$120:$AH$124,BA$3))*-AT45,"")</f>
        <v/>
      </c>
      <c r="BB45" s="29" t="str">
        <f>IF((SUMIFS(Effektmåling!$J$178:$J$182,Effektmåling!$D$178:$D$182,$B45,$AH$120:$AH$124,BB$3))&lt;&gt;0,(SUMIFS(Effektmåling!$J$178:$J$182,Effektmåling!$D$178:$D$182,$B45,$AH$120:$AH$124,BB$3))*-AU45,"")</f>
        <v/>
      </c>
      <c r="BC45" s="29" t="str">
        <f>IF((SUMIFS(Effektmåling!$J$178:$J$182,Effektmåling!$D$178:$D$182,$B45,$AH$120:$AH$124,BC$3))&lt;&gt;0,(SUMIFS(Effektmåling!$J$178:$J$182,Effektmåling!$D$178:$D$182,$B45,$AH$120:$AH$124,BC$3))*-AV45,"")</f>
        <v/>
      </c>
      <c r="BD45" s="29" t="str">
        <f>IF((SUMIFS(Effektmåling!$J$178:$J$182,Effektmåling!$D$178:$D$182,$B45,$AH$120:$AH$124,BD$3))&lt;&gt;0,(SUMIFS(Effektmåling!$J$178:$J$182,Effektmåling!$D$178:$D$182,$B45,$AH$120:$AH$124,BD$3))*-AW45,"")</f>
        <v/>
      </c>
      <c r="BE45" s="29" t="str">
        <f>IF((SUMIFS(Effektmåling!$J$178:$J$182,Effektmåling!$D$178:$D$182,$B45,$AH$120:$AH$124,BE$3))&lt;&gt;0,(SUMIFS(Effektmåling!$J$178:$J$182,Effektmåling!$D$178:$D$182,$B45,$AH$120:$AH$124,BE$3))*-AX45,"")</f>
        <v/>
      </c>
      <c r="BF45" s="29" t="str">
        <f>IF((SUMIFS(Effektmåling!$J$178:$J$182,Effektmåling!$D$178:$D$182,$B45,$AH$120:$AH$124,BF$3))&lt;&gt;0,(SUMIFS(Effektmåling!$J$178:$J$182,Effektmåling!$D$178:$D$182,$B45,$AH$120:$AH$124,BF$3))*-AY45,"")</f>
        <v/>
      </c>
      <c r="BH45" s="29" t="str">
        <f>IF((SUMIFS(Effektmåling!$J$163:$J$167,Effektmåling!$D$163:$D$167,$B45,$AO$120:$AO$124,BH$3))&lt;&gt;0,(SUMIFS(Effektmåling!$J$163:$J$167,Effektmåling!$D$163:$D$167,$B45,$AO$120:$AO$124,BH$3))*-AT45,"")</f>
        <v/>
      </c>
      <c r="BI45" s="29" t="str">
        <f>IF((SUMIFS(Effektmåling!$J$163:$J$167,Effektmåling!$D$163:$D$167,$B45,$AO$120:$AO$124,BI$3))&lt;&gt;0,(SUMIFS(Effektmåling!$J$163:$J$167,Effektmåling!$D$163:$D$167,$B45,$AO$120:$AO$124,BI$3))*-AU45,"")</f>
        <v/>
      </c>
      <c r="BJ45" s="29" t="str">
        <f>IF((SUMIFS(Effektmåling!$J$163:$J$167,Effektmåling!$D$163:$D$167,$B45,$AO$120:$AO$124,BJ$3))&lt;&gt;0,(SUMIFS(Effektmåling!$J$163:$J$167,Effektmåling!$D$163:$D$167,$B45,$AO$120:$AO$124,BJ$3))*-AV45,"")</f>
        <v/>
      </c>
      <c r="BK45" s="29" t="str">
        <f>IF((SUMIFS(Effektmåling!$J$163:$J$167,Effektmåling!$D$163:$D$167,$B45,$AO$120:$AO$124,BK$3))&lt;&gt;0,(SUMIFS(Effektmåling!$J$163:$J$167,Effektmåling!$D$163:$D$167,$B45,$AO$120:$AO$124,BK$3))*-AW45,"")</f>
        <v/>
      </c>
      <c r="BL45" s="29" t="str">
        <f>IF((SUMIFS(Effektmåling!$J$163:$J$167,Effektmåling!$D$163:$D$167,$B45,$AO$120:$AO$124,BL$3))&lt;&gt;0,(SUMIFS(Effektmåling!$J$163:$J$167,Effektmåling!$D$163:$D$167,$B45,$AO$120:$AO$124,BL$3))*-AX45,"")</f>
        <v/>
      </c>
      <c r="BM45" s="29" t="str">
        <f>IF((SUMIFS(Effektmåling!$J$163:$J$167,Effektmåling!$D$163:$D$167,$B45,$AO$120:$AO$124,BM$3))&lt;&gt;0,(SUMIFS(Effektmåling!$J$163:$J$167,Effektmåling!$D$163:$D$167,$B45,$AO$120:$AO$124,BM$3))*-AY45,"")</f>
        <v/>
      </c>
      <c r="BO45" s="211">
        <f t="shared" ca="1" si="24"/>
        <v>100000</v>
      </c>
      <c r="BP45" s="207" t="str">
        <f t="shared" si="52"/>
        <v>Kartofler</v>
      </c>
      <c r="BQ45" s="29">
        <f t="shared" ca="1" si="25"/>
        <v>0</v>
      </c>
      <c r="BR45" s="29">
        <f t="shared" ca="1" si="53"/>
        <v>100000</v>
      </c>
      <c r="BS45" s="29"/>
      <c r="BT45" s="29"/>
      <c r="BU45" s="29"/>
      <c r="BV45" s="29"/>
      <c r="BW45" s="212"/>
    </row>
    <row r="46" spans="1:75" x14ac:dyDescent="0.15">
      <c r="A46" s="474">
        <f t="shared" si="5"/>
        <v>42</v>
      </c>
      <c r="B46" s="19" t="s">
        <v>287</v>
      </c>
      <c r="C46" s="19">
        <v>1</v>
      </c>
      <c r="D46" s="27">
        <v>0.86599999999999999</v>
      </c>
      <c r="E46" s="25"/>
      <c r="F46" s="26">
        <v>8.3000000000000001E-3</v>
      </c>
      <c r="G46" s="25"/>
      <c r="H46" s="119">
        <v>0</v>
      </c>
      <c r="I46" s="74">
        <v>0</v>
      </c>
      <c r="J46" s="119">
        <v>0</v>
      </c>
      <c r="K46" s="74">
        <v>0</v>
      </c>
      <c r="L46" s="131"/>
      <c r="M46" s="74">
        <v>0</v>
      </c>
      <c r="O46" s="142">
        <f t="shared" si="18"/>
        <v>8.3000000000000001E-3</v>
      </c>
      <c r="P46" s="142">
        <f t="shared" si="19"/>
        <v>0</v>
      </c>
      <c r="Q46" s="142">
        <f t="shared" si="20"/>
        <v>0</v>
      </c>
      <c r="R46" s="142">
        <f t="shared" si="21"/>
        <v>-8.3000000000000001E-3</v>
      </c>
      <c r="S46" s="142">
        <f t="shared" si="22"/>
        <v>-8.3000000000000001E-3</v>
      </c>
      <c r="T46" s="142">
        <f t="shared" si="23"/>
        <v>0</v>
      </c>
      <c r="V46" s="29">
        <f ca="1">SUMIF(Effektmåling!$D$53:$E$57,'DB materialer'!B46,Effektmåling!$H$53:$H$57)</f>
        <v>0</v>
      </c>
      <c r="W46" s="477" t="str">
        <f ca="1">IF((V46*D46)=0,"",IF(Effektmåling!$Q$241="Ja",1.3*(V46*D46),V46*D46))</f>
        <v/>
      </c>
      <c r="X46" s="29" t="str">
        <f ca="1">IF(W46="","",RANK(W46,$W$7:$W$56,0)+COUNTIF($W$7:W46,W46)-1)</f>
        <v/>
      </c>
      <c r="Y46" s="29" t="str">
        <f t="shared" ca="1" si="54"/>
        <v/>
      </c>
      <c r="AA46" s="29">
        <f ca="1">$C$122*SUMIF(Effektmåling!$D$128:$E$132,'DB materialer'!$B46,Effektmåling!$I$128:$I$132)</f>
        <v>0</v>
      </c>
      <c r="AB46" s="477" t="str">
        <f ca="1">IF((AA46*D46)=0,"",IF(Effektmåling!$Q$241="Ja",1.3*(AA46*D46),AA46*D46))</f>
        <v/>
      </c>
      <c r="AC46" s="29" t="str">
        <f ca="1">IF(AB46="","",RANK(AB46,$AB$7:$AB$56,0)+COUNTIF($AB$7:AB46,AB46)-1)</f>
        <v/>
      </c>
      <c r="AD46" s="29">
        <f t="shared" ca="1" si="51"/>
        <v>0</v>
      </c>
      <c r="AE46" s="29"/>
      <c r="AF46" s="29" t="str">
        <f>IF((SUMIFS(Effektmåling!$J$178:$J$182,Effektmåling!$D$178:$D$182,$B46,$AH$120:$AH$124,'DB materialer'!AF$3))&lt;&gt;0,(SUMIFS(Effektmåling!$J$178:$J$182,Effektmåling!$D$178:$D$182,$B46,$AH$120:$AH$124,'DB materialer'!AF$3))*-O46,"")</f>
        <v/>
      </c>
      <c r="AG46" s="29" t="str">
        <f>IF((SUMIFS(Effektmåling!$J$178:$J$182,Effektmåling!$D$178:$D$182,$B46,$AH$120:$AH$124,'DB materialer'!AG$3))&lt;&gt;0,(SUMIFS(Effektmåling!$J$178:$J$182,Effektmåling!$D$178:$D$182,$B46,$AH$120:$AH$124,'DB materialer'!AG$3))*-P46,"")</f>
        <v/>
      </c>
      <c r="AH46" s="29" t="str">
        <f>IF((SUMIFS(Effektmåling!$J$178:$J$182,Effektmåling!$D$178:$D$182,$B46,$AH$120:$AH$124,'DB materialer'!AH$3))&lt;&gt;0,(SUMIFS(Effektmåling!$J$178:$J$182,Effektmåling!$D$178:$D$182,$B46,$AH$120:$AH$124,'DB materialer'!AH$3))*-Q46,"")</f>
        <v/>
      </c>
      <c r="AI46" s="29" t="str">
        <f>IF((SUMIFS(Effektmåling!$J$178:$J$182,Effektmåling!$D$178:$D$182,$B46,$AH$120:$AH$124,'DB materialer'!AI$3))&lt;&gt;0,(SUMIFS(Effektmåling!$J$178:$J$182,Effektmåling!$D$178:$D$182,$B46,$AH$120:$AH$124,'DB materialer'!AI$3))*-R46,"")</f>
        <v/>
      </c>
      <c r="AJ46" s="29" t="str">
        <f>IF((SUMIFS(Effektmåling!$J$178:$J$182,Effektmåling!$D$178:$D$182,$B46,$AH$120:$AH$124,'DB materialer'!AJ$3))&lt;&gt;0,(SUMIFS(Effektmåling!$J$178:$J$182,Effektmåling!$D$178:$D$182,$B46,$AH$120:$AH$124,'DB materialer'!AJ$3))*-S46,"")</f>
        <v/>
      </c>
      <c r="AK46" s="29" t="str">
        <f>IF((SUMIFS(Effektmåling!$J$178:$J$182,Effektmåling!$D$178:$D$182,$B46,$AH$120:$AH$124,'DB materialer'!AK$3))&lt;&gt;0,(SUMIFS(Effektmåling!$J$178:$J$182,Effektmåling!$D$178:$D$182,$B46,$AH$120:$AH$124,'DB materialer'!AK$3))*-T46,"")</f>
        <v/>
      </c>
      <c r="AM46" s="29" t="str">
        <f>IF((SUMIFS(Effektmåling!$J$163:$J$167,Effektmåling!$D$163:$D$167,$B46,$AO$120:$AO$124,'DB materialer'!AM$3))&lt;&gt;0,(SUMIFS(Effektmåling!$J$163:$J$167,Effektmåling!$D$163:$D$167,$B46,$AO$120:$AO$124,'DB materialer'!AM$3))*(-O46)*($C$122),"")</f>
        <v/>
      </c>
      <c r="AN46" s="29" t="str">
        <f>IF((SUMIFS(Effektmåling!$J$163:$J$167,Effektmåling!$D$163:$D$167,$B46,$AO$120:$AO$124,'DB materialer'!AN$3))&lt;&gt;0,(SUMIFS(Effektmåling!$J$163:$J$167,Effektmåling!$D$163:$D$167,$B46,$AO$120:$AO$124,'DB materialer'!AN$3))*(-P46)*($C$122),"")</f>
        <v/>
      </c>
      <c r="AO46" s="29" t="str">
        <f>IF((SUMIFS(Effektmåling!$J$163:$J$167,Effektmåling!$D$163:$D$167,$B46,$AO$120:$AO$124,'DB materialer'!AO$3))&lt;&gt;0,(SUMIFS(Effektmåling!$J$163:$J$167,Effektmåling!$D$163:$D$167,$B46,$AO$120:$AO$124,'DB materialer'!AO$3))*(-Q46)*($C$122),"")</f>
        <v/>
      </c>
      <c r="AP46" s="29" t="str">
        <f>IF((SUMIFS(Effektmåling!$J$163:$J$167,Effektmåling!$D$163:$D$167,$B46,$AO$120:$AO$124,'DB materialer'!AP$3))&lt;&gt;0,(SUMIFS(Effektmåling!$J$163:$J$167,Effektmåling!$D$163:$D$167,$B46,$AO$120:$AO$124,'DB materialer'!AP$3))*(-R46)*($C$122),"")</f>
        <v/>
      </c>
      <c r="AQ46" s="29" t="str">
        <f>IF((SUMIFS(Effektmåling!$J$163:$J$167,Effektmåling!$D$163:$D$167,$B46,$AO$120:$AO$124,'DB materialer'!AQ$3))&lt;&gt;0,(SUMIFS(Effektmåling!$J$163:$J$167,Effektmåling!$D$163:$D$167,$B46,$AO$120:$AO$124,'DB materialer'!AQ$3))*(-S46)*($C$122),"")</f>
        <v/>
      </c>
      <c r="AR46" s="29" t="str">
        <f>IF((SUMIFS(Effektmåling!$J$163:$J$167,Effektmåling!$D$163:$D$167,$B46,$AO$120:$AO$124,'DB materialer'!AR$3))&lt;&gt;0,(SUMIFS(Effektmåling!$J$163:$J$167,Effektmåling!$D$163:$D$167,$B46,$AO$120:$AO$124,'DB materialer'!AR$3))*(-T46)*($C$122),"")</f>
        <v/>
      </c>
      <c r="AT46" s="30">
        <f t="shared" si="55"/>
        <v>1.0000000000000001E-30</v>
      </c>
      <c r="AU46" s="40">
        <f t="shared" si="56"/>
        <v>1.0000000000000001E-30</v>
      </c>
      <c r="AV46" s="41">
        <f t="shared" si="57"/>
        <v>1.0000000000000001E-30</v>
      </c>
      <c r="AW46" s="40">
        <f t="shared" si="58"/>
        <v>1.0000000000000001E-30</v>
      </c>
      <c r="AX46" s="41">
        <f t="shared" si="59"/>
        <v>1.0000000000000001E-30</v>
      </c>
      <c r="AY46" s="41">
        <f t="shared" si="60"/>
        <v>1.0000000000000001E-30</v>
      </c>
      <c r="BA46" s="29" t="str">
        <f>IF((SUMIFS(Effektmåling!$J$178:$J$182,Effektmåling!$D$178:$D$182,$B46,$AH$120:$AH$124,BA$3))&lt;&gt;0,(SUMIFS(Effektmåling!$J$178:$J$182,Effektmåling!$D$178:$D$182,$B46,$AH$120:$AH$124,BA$3))*-AT46,"")</f>
        <v/>
      </c>
      <c r="BB46" s="29" t="str">
        <f>IF((SUMIFS(Effektmåling!$J$178:$J$182,Effektmåling!$D$178:$D$182,$B46,$AH$120:$AH$124,BB$3))&lt;&gt;0,(SUMIFS(Effektmåling!$J$178:$J$182,Effektmåling!$D$178:$D$182,$B46,$AH$120:$AH$124,BB$3))*-AU46,"")</f>
        <v/>
      </c>
      <c r="BC46" s="29" t="str">
        <f>IF((SUMIFS(Effektmåling!$J$178:$J$182,Effektmåling!$D$178:$D$182,$B46,$AH$120:$AH$124,BC$3))&lt;&gt;0,(SUMIFS(Effektmåling!$J$178:$J$182,Effektmåling!$D$178:$D$182,$B46,$AH$120:$AH$124,BC$3))*-AV46,"")</f>
        <v/>
      </c>
      <c r="BD46" s="29" t="str">
        <f>IF((SUMIFS(Effektmåling!$J$178:$J$182,Effektmåling!$D$178:$D$182,$B46,$AH$120:$AH$124,BD$3))&lt;&gt;0,(SUMIFS(Effektmåling!$J$178:$J$182,Effektmåling!$D$178:$D$182,$B46,$AH$120:$AH$124,BD$3))*-AW46,"")</f>
        <v/>
      </c>
      <c r="BE46" s="29" t="str">
        <f>IF((SUMIFS(Effektmåling!$J$178:$J$182,Effektmåling!$D$178:$D$182,$B46,$AH$120:$AH$124,BE$3))&lt;&gt;0,(SUMIFS(Effektmåling!$J$178:$J$182,Effektmåling!$D$178:$D$182,$B46,$AH$120:$AH$124,BE$3))*-AX46,"")</f>
        <v/>
      </c>
      <c r="BF46" s="29" t="str">
        <f>IF((SUMIFS(Effektmåling!$J$178:$J$182,Effektmåling!$D$178:$D$182,$B46,$AH$120:$AH$124,BF$3))&lt;&gt;0,(SUMIFS(Effektmåling!$J$178:$J$182,Effektmåling!$D$178:$D$182,$B46,$AH$120:$AH$124,BF$3))*-AY46,"")</f>
        <v/>
      </c>
      <c r="BH46" s="29" t="str">
        <f>IF((SUMIFS(Effektmåling!$J$163:$J$167,Effektmåling!$D$163:$D$167,$B46,$AO$120:$AO$124,BH$3))&lt;&gt;0,(SUMIFS(Effektmåling!$J$163:$J$167,Effektmåling!$D$163:$D$167,$B46,$AO$120:$AO$124,BH$3))*-AT46,"")</f>
        <v/>
      </c>
      <c r="BI46" s="29" t="str">
        <f>IF((SUMIFS(Effektmåling!$J$163:$J$167,Effektmåling!$D$163:$D$167,$B46,$AO$120:$AO$124,BI$3))&lt;&gt;0,(SUMIFS(Effektmåling!$J$163:$J$167,Effektmåling!$D$163:$D$167,$B46,$AO$120:$AO$124,BI$3))*-AU46,"")</f>
        <v/>
      </c>
      <c r="BJ46" s="29" t="str">
        <f>IF((SUMIFS(Effektmåling!$J$163:$J$167,Effektmåling!$D$163:$D$167,$B46,$AO$120:$AO$124,BJ$3))&lt;&gt;0,(SUMIFS(Effektmåling!$J$163:$J$167,Effektmåling!$D$163:$D$167,$B46,$AO$120:$AO$124,BJ$3))*-AV46,"")</f>
        <v/>
      </c>
      <c r="BK46" s="29" t="str">
        <f>IF((SUMIFS(Effektmåling!$J$163:$J$167,Effektmåling!$D$163:$D$167,$B46,$AO$120:$AO$124,BK$3))&lt;&gt;0,(SUMIFS(Effektmåling!$J$163:$J$167,Effektmåling!$D$163:$D$167,$B46,$AO$120:$AO$124,BK$3))*-AW46,"")</f>
        <v/>
      </c>
      <c r="BL46" s="29" t="str">
        <f>IF((SUMIFS(Effektmåling!$J$163:$J$167,Effektmåling!$D$163:$D$167,$B46,$AO$120:$AO$124,BL$3))&lt;&gt;0,(SUMIFS(Effektmåling!$J$163:$J$167,Effektmåling!$D$163:$D$167,$B46,$AO$120:$AO$124,BL$3))*-AX46,"")</f>
        <v/>
      </c>
      <c r="BM46" s="29" t="str">
        <f>IF((SUMIFS(Effektmåling!$J$163:$J$167,Effektmåling!$D$163:$D$167,$B46,$AO$120:$AO$124,BM$3))&lt;&gt;0,(SUMIFS(Effektmåling!$J$163:$J$167,Effektmåling!$D$163:$D$167,$B46,$AO$120:$AO$124,BM$3))*-AY46,"")</f>
        <v/>
      </c>
      <c r="BO46" s="211">
        <f t="shared" ca="1" si="24"/>
        <v>100000</v>
      </c>
      <c r="BP46" s="207" t="str">
        <f t="shared" si="52"/>
        <v>Korn</v>
      </c>
      <c r="BQ46" s="29">
        <f t="shared" ca="1" si="25"/>
        <v>0</v>
      </c>
      <c r="BR46" s="29">
        <f t="shared" ca="1" si="53"/>
        <v>100000</v>
      </c>
      <c r="BS46" s="29"/>
      <c r="BT46" s="29"/>
      <c r="BU46" s="29"/>
      <c r="BV46" s="29"/>
      <c r="BW46" s="212"/>
    </row>
    <row r="47" spans="1:75" x14ac:dyDescent="0.15">
      <c r="A47" s="474">
        <f t="shared" si="5"/>
        <v>43</v>
      </c>
      <c r="B47" s="19" t="s">
        <v>288</v>
      </c>
      <c r="C47" s="19">
        <v>1</v>
      </c>
      <c r="D47" s="27">
        <v>5.4</v>
      </c>
      <c r="E47" s="25"/>
      <c r="F47" s="26">
        <v>8.3000000000000001E-3</v>
      </c>
      <c r="G47" s="25"/>
      <c r="H47" s="119">
        <v>0</v>
      </c>
      <c r="I47" s="74">
        <v>0</v>
      </c>
      <c r="J47" s="119">
        <v>0</v>
      </c>
      <c r="K47" s="74">
        <v>0</v>
      </c>
      <c r="L47" s="131"/>
      <c r="M47" s="74">
        <v>0</v>
      </c>
      <c r="O47" s="142">
        <f t="shared" si="18"/>
        <v>8.3000000000000001E-3</v>
      </c>
      <c r="P47" s="142">
        <f t="shared" si="19"/>
        <v>0</v>
      </c>
      <c r="Q47" s="142">
        <f t="shared" si="20"/>
        <v>0</v>
      </c>
      <c r="R47" s="142">
        <f t="shared" si="21"/>
        <v>-8.3000000000000001E-3</v>
      </c>
      <c r="S47" s="142">
        <f t="shared" si="22"/>
        <v>-8.3000000000000001E-3</v>
      </c>
      <c r="T47" s="142">
        <f t="shared" si="23"/>
        <v>0</v>
      </c>
      <c r="V47" s="29">
        <f ca="1">SUMIF(Effektmåling!$D$53:$E$57,'DB materialer'!B47,Effektmåling!$H$53:$H$57)</f>
        <v>0</v>
      </c>
      <c r="W47" s="477" t="str">
        <f ca="1">IF((V47*D47)=0,"",IF(Effektmåling!$Q$241="Ja",1.3*(V47*D47),V47*D47))</f>
        <v/>
      </c>
      <c r="X47" s="29" t="str">
        <f ca="1">IF(W47="","",RANK(W47,$W$7:$W$56,0)+COUNTIF($W$7:W47,W47)-1)</f>
        <v/>
      </c>
      <c r="Y47" s="29" t="str">
        <f t="shared" ca="1" si="54"/>
        <v/>
      </c>
      <c r="AA47" s="29">
        <f ca="1">$C$122*SUMIF(Effektmåling!$D$128:$E$132,'DB materialer'!$B47,Effektmåling!$I$128:$I$132)</f>
        <v>0</v>
      </c>
      <c r="AB47" s="477" t="str">
        <f ca="1">IF((AA47*D47)=0,"",IF(Effektmåling!$Q$241="Ja",1.3*(AA47*D47),AA47*D47))</f>
        <v/>
      </c>
      <c r="AC47" s="29" t="str">
        <f ca="1">IF(AB47="","",RANK(AB47,$AB$7:$AB$56,0)+COUNTIF($AB$7:AB47,AB47)-1)</f>
        <v/>
      </c>
      <c r="AD47" s="29">
        <f t="shared" ca="1" si="51"/>
        <v>0</v>
      </c>
      <c r="AE47" s="29"/>
      <c r="AF47" s="29" t="str">
        <f>IF((SUMIFS(Effektmåling!$J$178:$J$182,Effektmåling!$D$178:$D$182,$B47,$AH$120:$AH$124,'DB materialer'!AF$3))&lt;&gt;0,(SUMIFS(Effektmåling!$J$178:$J$182,Effektmåling!$D$178:$D$182,$B47,$AH$120:$AH$124,'DB materialer'!AF$3))*-O47,"")</f>
        <v/>
      </c>
      <c r="AG47" s="29" t="str">
        <f>IF((SUMIFS(Effektmåling!$J$178:$J$182,Effektmåling!$D$178:$D$182,$B47,$AH$120:$AH$124,'DB materialer'!AG$3))&lt;&gt;0,(SUMIFS(Effektmåling!$J$178:$J$182,Effektmåling!$D$178:$D$182,$B47,$AH$120:$AH$124,'DB materialer'!AG$3))*-P47,"")</f>
        <v/>
      </c>
      <c r="AH47" s="29" t="str">
        <f>IF((SUMIFS(Effektmåling!$J$178:$J$182,Effektmåling!$D$178:$D$182,$B47,$AH$120:$AH$124,'DB materialer'!AH$3))&lt;&gt;0,(SUMIFS(Effektmåling!$J$178:$J$182,Effektmåling!$D$178:$D$182,$B47,$AH$120:$AH$124,'DB materialer'!AH$3))*-Q47,"")</f>
        <v/>
      </c>
      <c r="AI47" s="29" t="str">
        <f>IF((SUMIFS(Effektmåling!$J$178:$J$182,Effektmåling!$D$178:$D$182,$B47,$AH$120:$AH$124,'DB materialer'!AI$3))&lt;&gt;0,(SUMIFS(Effektmåling!$J$178:$J$182,Effektmåling!$D$178:$D$182,$B47,$AH$120:$AH$124,'DB materialer'!AI$3))*-R47,"")</f>
        <v/>
      </c>
      <c r="AJ47" s="29" t="str">
        <f>IF((SUMIFS(Effektmåling!$J$178:$J$182,Effektmåling!$D$178:$D$182,$B47,$AH$120:$AH$124,'DB materialer'!AJ$3))&lt;&gt;0,(SUMIFS(Effektmåling!$J$178:$J$182,Effektmåling!$D$178:$D$182,$B47,$AH$120:$AH$124,'DB materialer'!AJ$3))*-S47,"")</f>
        <v/>
      </c>
      <c r="AK47" s="29" t="str">
        <f>IF((SUMIFS(Effektmåling!$J$178:$J$182,Effektmåling!$D$178:$D$182,$B47,$AH$120:$AH$124,'DB materialer'!AK$3))&lt;&gt;0,(SUMIFS(Effektmåling!$J$178:$J$182,Effektmåling!$D$178:$D$182,$B47,$AH$120:$AH$124,'DB materialer'!AK$3))*-T47,"")</f>
        <v/>
      </c>
      <c r="AM47" s="29" t="str">
        <f>IF((SUMIFS(Effektmåling!$J$163:$J$167,Effektmåling!$D$163:$D$167,$B47,$AO$120:$AO$124,'DB materialer'!AM$3))&lt;&gt;0,(SUMIFS(Effektmåling!$J$163:$J$167,Effektmåling!$D$163:$D$167,$B47,$AO$120:$AO$124,'DB materialer'!AM$3))*(-O47)*($C$122),"")</f>
        <v/>
      </c>
      <c r="AN47" s="29" t="str">
        <f>IF((SUMIFS(Effektmåling!$J$163:$J$167,Effektmåling!$D$163:$D$167,$B47,$AO$120:$AO$124,'DB materialer'!AN$3))&lt;&gt;0,(SUMIFS(Effektmåling!$J$163:$J$167,Effektmåling!$D$163:$D$167,$B47,$AO$120:$AO$124,'DB materialer'!AN$3))*(-P47)*($C$122),"")</f>
        <v/>
      </c>
      <c r="AO47" s="29" t="str">
        <f>IF((SUMIFS(Effektmåling!$J$163:$J$167,Effektmåling!$D$163:$D$167,$B47,$AO$120:$AO$124,'DB materialer'!AO$3))&lt;&gt;0,(SUMIFS(Effektmåling!$J$163:$J$167,Effektmåling!$D$163:$D$167,$B47,$AO$120:$AO$124,'DB materialer'!AO$3))*(-Q47)*($C$122),"")</f>
        <v/>
      </c>
      <c r="AP47" s="29" t="str">
        <f>IF((SUMIFS(Effektmåling!$J$163:$J$167,Effektmåling!$D$163:$D$167,$B47,$AO$120:$AO$124,'DB materialer'!AP$3))&lt;&gt;0,(SUMIFS(Effektmåling!$J$163:$J$167,Effektmåling!$D$163:$D$167,$B47,$AO$120:$AO$124,'DB materialer'!AP$3))*(-R47)*($C$122),"")</f>
        <v/>
      </c>
      <c r="AQ47" s="29" t="str">
        <f>IF((SUMIFS(Effektmåling!$J$163:$J$167,Effektmåling!$D$163:$D$167,$B47,$AO$120:$AO$124,'DB materialer'!AQ$3))&lt;&gt;0,(SUMIFS(Effektmåling!$J$163:$J$167,Effektmåling!$D$163:$D$167,$B47,$AO$120:$AO$124,'DB materialer'!AQ$3))*(-S47)*($C$122),"")</f>
        <v/>
      </c>
      <c r="AR47" s="29" t="str">
        <f>IF((SUMIFS(Effektmåling!$J$163:$J$167,Effektmåling!$D$163:$D$167,$B47,$AO$120:$AO$124,'DB materialer'!AR$3))&lt;&gt;0,(SUMIFS(Effektmåling!$J$163:$J$167,Effektmåling!$D$163:$D$167,$B47,$AO$120:$AO$124,'DB materialer'!AR$3))*(-T47)*($C$122),"")</f>
        <v/>
      </c>
      <c r="AT47" s="30">
        <f t="shared" si="55"/>
        <v>1.0000000000000001E-30</v>
      </c>
      <c r="AU47" s="40">
        <f t="shared" si="56"/>
        <v>1.0000000000000001E-30</v>
      </c>
      <c r="AV47" s="41">
        <f t="shared" si="57"/>
        <v>1.0000000000000001E-30</v>
      </c>
      <c r="AW47" s="40">
        <f t="shared" si="58"/>
        <v>1.0000000000000001E-30</v>
      </c>
      <c r="AX47" s="41">
        <f t="shared" si="59"/>
        <v>1.0000000000000001E-30</v>
      </c>
      <c r="AY47" s="41">
        <f t="shared" si="60"/>
        <v>1.0000000000000001E-30</v>
      </c>
      <c r="BA47" s="29" t="str">
        <f>IF((SUMIFS(Effektmåling!$J$178:$J$182,Effektmåling!$D$178:$D$182,$B47,$AH$120:$AH$124,BA$3))&lt;&gt;0,(SUMIFS(Effektmåling!$J$178:$J$182,Effektmåling!$D$178:$D$182,$B47,$AH$120:$AH$124,BA$3))*-AT47,"")</f>
        <v/>
      </c>
      <c r="BB47" s="29" t="str">
        <f>IF((SUMIFS(Effektmåling!$J$178:$J$182,Effektmåling!$D$178:$D$182,$B47,$AH$120:$AH$124,BB$3))&lt;&gt;0,(SUMIFS(Effektmåling!$J$178:$J$182,Effektmåling!$D$178:$D$182,$B47,$AH$120:$AH$124,BB$3))*-AU47,"")</f>
        <v/>
      </c>
      <c r="BC47" s="29" t="str">
        <f>IF((SUMIFS(Effektmåling!$J$178:$J$182,Effektmåling!$D$178:$D$182,$B47,$AH$120:$AH$124,BC$3))&lt;&gt;0,(SUMIFS(Effektmåling!$J$178:$J$182,Effektmåling!$D$178:$D$182,$B47,$AH$120:$AH$124,BC$3))*-AV47,"")</f>
        <v/>
      </c>
      <c r="BD47" s="29" t="str">
        <f>IF((SUMIFS(Effektmåling!$J$178:$J$182,Effektmåling!$D$178:$D$182,$B47,$AH$120:$AH$124,BD$3))&lt;&gt;0,(SUMIFS(Effektmåling!$J$178:$J$182,Effektmåling!$D$178:$D$182,$B47,$AH$120:$AH$124,BD$3))*-AW47,"")</f>
        <v/>
      </c>
      <c r="BE47" s="29" t="str">
        <f>IF((SUMIFS(Effektmåling!$J$178:$J$182,Effektmåling!$D$178:$D$182,$B47,$AH$120:$AH$124,BE$3))&lt;&gt;0,(SUMIFS(Effektmåling!$J$178:$J$182,Effektmåling!$D$178:$D$182,$B47,$AH$120:$AH$124,BE$3))*-AX47,"")</f>
        <v/>
      </c>
      <c r="BF47" s="29" t="str">
        <f>IF((SUMIFS(Effektmåling!$J$178:$J$182,Effektmåling!$D$178:$D$182,$B47,$AH$120:$AH$124,BF$3))&lt;&gt;0,(SUMIFS(Effektmåling!$J$178:$J$182,Effektmåling!$D$178:$D$182,$B47,$AH$120:$AH$124,BF$3))*-AY47,"")</f>
        <v/>
      </c>
      <c r="BH47" s="29" t="str">
        <f>IF((SUMIFS(Effektmåling!$J$163:$J$167,Effektmåling!$D$163:$D$167,$B47,$AO$120:$AO$124,BH$3))&lt;&gt;0,(SUMIFS(Effektmåling!$J$163:$J$167,Effektmåling!$D$163:$D$167,$B47,$AO$120:$AO$124,BH$3))*-AT47,"")</f>
        <v/>
      </c>
      <c r="BI47" s="29" t="str">
        <f>IF((SUMIFS(Effektmåling!$J$163:$J$167,Effektmåling!$D$163:$D$167,$B47,$AO$120:$AO$124,BI$3))&lt;&gt;0,(SUMIFS(Effektmåling!$J$163:$J$167,Effektmåling!$D$163:$D$167,$B47,$AO$120:$AO$124,BI$3))*-AU47,"")</f>
        <v/>
      </c>
      <c r="BJ47" s="29" t="str">
        <f>IF((SUMIFS(Effektmåling!$J$163:$J$167,Effektmåling!$D$163:$D$167,$B47,$AO$120:$AO$124,BJ$3))&lt;&gt;0,(SUMIFS(Effektmåling!$J$163:$J$167,Effektmåling!$D$163:$D$167,$B47,$AO$120:$AO$124,BJ$3))*-AV47,"")</f>
        <v/>
      </c>
      <c r="BK47" s="29" t="str">
        <f>IF((SUMIFS(Effektmåling!$J$163:$J$167,Effektmåling!$D$163:$D$167,$B47,$AO$120:$AO$124,BK$3))&lt;&gt;0,(SUMIFS(Effektmåling!$J$163:$J$167,Effektmåling!$D$163:$D$167,$B47,$AO$120:$AO$124,BK$3))*-AW47,"")</f>
        <v/>
      </c>
      <c r="BL47" s="29" t="str">
        <f>IF((SUMIFS(Effektmåling!$J$163:$J$167,Effektmåling!$D$163:$D$167,$B47,$AO$120:$AO$124,BL$3))&lt;&gt;0,(SUMIFS(Effektmåling!$J$163:$J$167,Effektmåling!$D$163:$D$167,$B47,$AO$120:$AO$124,BL$3))*-AX47,"")</f>
        <v/>
      </c>
      <c r="BM47" s="29" t="str">
        <f>IF((SUMIFS(Effektmåling!$J$163:$J$167,Effektmåling!$D$163:$D$167,$B47,$AO$120:$AO$124,BM$3))&lt;&gt;0,(SUMIFS(Effektmåling!$J$163:$J$167,Effektmåling!$D$163:$D$167,$B47,$AO$120:$AO$124,BM$3))*-AY47,"")</f>
        <v/>
      </c>
      <c r="BO47" s="211">
        <f t="shared" ca="1" si="24"/>
        <v>100000</v>
      </c>
      <c r="BP47" s="207" t="str">
        <f t="shared" si="52"/>
        <v>Kød, andet</v>
      </c>
      <c r="BQ47" s="29">
        <f t="shared" ca="1" si="25"/>
        <v>0</v>
      </c>
      <c r="BR47" s="29">
        <f t="shared" ca="1" si="53"/>
        <v>100000</v>
      </c>
      <c r="BS47" s="29"/>
      <c r="BT47" s="29"/>
      <c r="BU47" s="29"/>
      <c r="BV47" s="29"/>
      <c r="BW47" s="212"/>
    </row>
    <row r="48" spans="1:75" x14ac:dyDescent="0.15">
      <c r="A48" s="474">
        <f t="shared" si="5"/>
        <v>44</v>
      </c>
      <c r="B48" s="19" t="s">
        <v>289</v>
      </c>
      <c r="C48" s="19">
        <v>1</v>
      </c>
      <c r="D48" s="27">
        <v>21.85</v>
      </c>
      <c r="E48" s="25"/>
      <c r="F48" s="26">
        <v>8.3000000000000001E-3</v>
      </c>
      <c r="G48" s="25"/>
      <c r="H48" s="119">
        <v>0</v>
      </c>
      <c r="I48" s="74">
        <v>0</v>
      </c>
      <c r="J48" s="119">
        <v>0</v>
      </c>
      <c r="K48" s="74">
        <v>0</v>
      </c>
      <c r="L48" s="131"/>
      <c r="M48" s="74">
        <v>0</v>
      </c>
      <c r="O48" s="142">
        <f t="shared" si="18"/>
        <v>8.3000000000000001E-3</v>
      </c>
      <c r="P48" s="142">
        <f t="shared" si="19"/>
        <v>0</v>
      </c>
      <c r="Q48" s="142">
        <f t="shared" si="20"/>
        <v>0</v>
      </c>
      <c r="R48" s="142">
        <f t="shared" si="21"/>
        <v>-8.3000000000000001E-3</v>
      </c>
      <c r="S48" s="142">
        <f t="shared" si="22"/>
        <v>-8.3000000000000001E-3</v>
      </c>
      <c r="T48" s="142">
        <f t="shared" si="23"/>
        <v>0</v>
      </c>
      <c r="V48" s="29">
        <f ca="1">SUMIF(Effektmåling!$D$53:$E$57,'DB materialer'!B48,Effektmåling!$H$53:$H$57)</f>
        <v>0</v>
      </c>
      <c r="W48" s="477" t="str">
        <f ca="1">IF((V48*D48)=0,"",IF(Effektmåling!$Q$241="Ja",1.3*(V48*D48),V48*D48))</f>
        <v/>
      </c>
      <c r="X48" s="29" t="str">
        <f ca="1">IF(W48="","",RANK(W48,$W$7:$W$56,0)+COUNTIF($W$7:W48,W48)-1)</f>
        <v/>
      </c>
      <c r="Y48" s="29" t="str">
        <f t="shared" ca="1" si="54"/>
        <v/>
      </c>
      <c r="AA48" s="29">
        <f ca="1">$C$122*SUMIF(Effektmåling!$D$128:$E$132,'DB materialer'!$B48,Effektmåling!$I$128:$I$132)</f>
        <v>0</v>
      </c>
      <c r="AB48" s="477" t="str">
        <f ca="1">IF((AA48*D48)=0,"",IF(Effektmåling!$Q$241="Ja",1.3*(AA48*D48),AA48*D48))</f>
        <v/>
      </c>
      <c r="AC48" s="29" t="str">
        <f ca="1">IF(AB48="","",RANK(AB48,$AB$7:$AB$56,0)+COUNTIF($AB$7:AB48,AB48)-1)</f>
        <v/>
      </c>
      <c r="AD48" s="29">
        <f t="shared" ca="1" si="51"/>
        <v>0</v>
      </c>
      <c r="AE48" s="29"/>
      <c r="AF48" s="29" t="str">
        <f>IF((SUMIFS(Effektmåling!$J$178:$J$182,Effektmåling!$D$178:$D$182,$B48,$AH$120:$AH$124,'DB materialer'!AF$3))&lt;&gt;0,(SUMIFS(Effektmåling!$J$178:$J$182,Effektmåling!$D$178:$D$182,$B48,$AH$120:$AH$124,'DB materialer'!AF$3))*-O48,"")</f>
        <v/>
      </c>
      <c r="AG48" s="29" t="str">
        <f>IF((SUMIFS(Effektmåling!$J$178:$J$182,Effektmåling!$D$178:$D$182,$B48,$AH$120:$AH$124,'DB materialer'!AG$3))&lt;&gt;0,(SUMIFS(Effektmåling!$J$178:$J$182,Effektmåling!$D$178:$D$182,$B48,$AH$120:$AH$124,'DB materialer'!AG$3))*-P48,"")</f>
        <v/>
      </c>
      <c r="AH48" s="29" t="str">
        <f>IF((SUMIFS(Effektmåling!$J$178:$J$182,Effektmåling!$D$178:$D$182,$B48,$AH$120:$AH$124,'DB materialer'!AH$3))&lt;&gt;0,(SUMIFS(Effektmåling!$J$178:$J$182,Effektmåling!$D$178:$D$182,$B48,$AH$120:$AH$124,'DB materialer'!AH$3))*-Q48,"")</f>
        <v/>
      </c>
      <c r="AI48" s="29" t="str">
        <f>IF((SUMIFS(Effektmåling!$J$178:$J$182,Effektmåling!$D$178:$D$182,$B48,$AH$120:$AH$124,'DB materialer'!AI$3))&lt;&gt;0,(SUMIFS(Effektmåling!$J$178:$J$182,Effektmåling!$D$178:$D$182,$B48,$AH$120:$AH$124,'DB materialer'!AI$3))*-R48,"")</f>
        <v/>
      </c>
      <c r="AJ48" s="29" t="str">
        <f>IF((SUMIFS(Effektmåling!$J$178:$J$182,Effektmåling!$D$178:$D$182,$B48,$AH$120:$AH$124,'DB materialer'!AJ$3))&lt;&gt;0,(SUMIFS(Effektmåling!$J$178:$J$182,Effektmåling!$D$178:$D$182,$B48,$AH$120:$AH$124,'DB materialer'!AJ$3))*-S48,"")</f>
        <v/>
      </c>
      <c r="AK48" s="29" t="str">
        <f>IF((SUMIFS(Effektmåling!$J$178:$J$182,Effektmåling!$D$178:$D$182,$B48,$AH$120:$AH$124,'DB materialer'!AK$3))&lt;&gt;0,(SUMIFS(Effektmåling!$J$178:$J$182,Effektmåling!$D$178:$D$182,$B48,$AH$120:$AH$124,'DB materialer'!AK$3))*-T48,"")</f>
        <v/>
      </c>
      <c r="AM48" s="29" t="str">
        <f>IF((SUMIFS(Effektmåling!$J$163:$J$167,Effektmåling!$D$163:$D$167,$B48,$AO$120:$AO$124,'DB materialer'!AM$3))&lt;&gt;0,(SUMIFS(Effektmåling!$J$163:$J$167,Effektmåling!$D$163:$D$167,$B48,$AO$120:$AO$124,'DB materialer'!AM$3))*(-O48)*($C$122),"")</f>
        <v/>
      </c>
      <c r="AN48" s="29" t="str">
        <f>IF((SUMIFS(Effektmåling!$J$163:$J$167,Effektmåling!$D$163:$D$167,$B48,$AO$120:$AO$124,'DB materialer'!AN$3))&lt;&gt;0,(SUMIFS(Effektmåling!$J$163:$J$167,Effektmåling!$D$163:$D$167,$B48,$AO$120:$AO$124,'DB materialer'!AN$3))*(-P48)*($C$122),"")</f>
        <v/>
      </c>
      <c r="AO48" s="29" t="str">
        <f>IF((SUMIFS(Effektmåling!$J$163:$J$167,Effektmåling!$D$163:$D$167,$B48,$AO$120:$AO$124,'DB materialer'!AO$3))&lt;&gt;0,(SUMIFS(Effektmåling!$J$163:$J$167,Effektmåling!$D$163:$D$167,$B48,$AO$120:$AO$124,'DB materialer'!AO$3))*(-Q48)*($C$122),"")</f>
        <v/>
      </c>
      <c r="AP48" s="29" t="str">
        <f>IF((SUMIFS(Effektmåling!$J$163:$J$167,Effektmåling!$D$163:$D$167,$B48,$AO$120:$AO$124,'DB materialer'!AP$3))&lt;&gt;0,(SUMIFS(Effektmåling!$J$163:$J$167,Effektmåling!$D$163:$D$167,$B48,$AO$120:$AO$124,'DB materialer'!AP$3))*(-R48)*($C$122),"")</f>
        <v/>
      </c>
      <c r="AQ48" s="29" t="str">
        <f>IF((SUMIFS(Effektmåling!$J$163:$J$167,Effektmåling!$D$163:$D$167,$B48,$AO$120:$AO$124,'DB materialer'!AQ$3))&lt;&gt;0,(SUMIFS(Effektmåling!$J$163:$J$167,Effektmåling!$D$163:$D$167,$B48,$AO$120:$AO$124,'DB materialer'!AQ$3))*(-S48)*($C$122),"")</f>
        <v/>
      </c>
      <c r="AR48" s="29" t="str">
        <f>IF((SUMIFS(Effektmåling!$J$163:$J$167,Effektmåling!$D$163:$D$167,$B48,$AO$120:$AO$124,'DB materialer'!AR$3))&lt;&gt;0,(SUMIFS(Effektmåling!$J$163:$J$167,Effektmåling!$D$163:$D$167,$B48,$AO$120:$AO$124,'DB materialer'!AR$3))*(-T48)*($C$122),"")</f>
        <v/>
      </c>
      <c r="AT48" s="30">
        <f t="shared" si="55"/>
        <v>1.0000000000000001E-30</v>
      </c>
      <c r="AU48" s="40">
        <f t="shared" si="56"/>
        <v>1.0000000000000001E-30</v>
      </c>
      <c r="AV48" s="41">
        <f t="shared" si="57"/>
        <v>1.0000000000000001E-30</v>
      </c>
      <c r="AW48" s="40">
        <f t="shared" si="58"/>
        <v>1.0000000000000001E-30</v>
      </c>
      <c r="AX48" s="41">
        <f t="shared" si="59"/>
        <v>1.0000000000000001E-30</v>
      </c>
      <c r="AY48" s="41">
        <f t="shared" si="60"/>
        <v>1.0000000000000001E-30</v>
      </c>
      <c r="BA48" s="29" t="str">
        <f>IF((SUMIFS(Effektmåling!$J$178:$J$182,Effektmåling!$D$178:$D$182,$B48,$AH$120:$AH$124,BA$3))&lt;&gt;0,(SUMIFS(Effektmåling!$J$178:$J$182,Effektmåling!$D$178:$D$182,$B48,$AH$120:$AH$124,BA$3))*-AT48,"")</f>
        <v/>
      </c>
      <c r="BB48" s="29" t="str">
        <f>IF((SUMIFS(Effektmåling!$J$178:$J$182,Effektmåling!$D$178:$D$182,$B48,$AH$120:$AH$124,BB$3))&lt;&gt;0,(SUMIFS(Effektmåling!$J$178:$J$182,Effektmåling!$D$178:$D$182,$B48,$AH$120:$AH$124,BB$3))*-AU48,"")</f>
        <v/>
      </c>
      <c r="BC48" s="29" t="str">
        <f>IF((SUMIFS(Effektmåling!$J$178:$J$182,Effektmåling!$D$178:$D$182,$B48,$AH$120:$AH$124,BC$3))&lt;&gt;0,(SUMIFS(Effektmåling!$J$178:$J$182,Effektmåling!$D$178:$D$182,$B48,$AH$120:$AH$124,BC$3))*-AV48,"")</f>
        <v/>
      </c>
      <c r="BD48" s="29" t="str">
        <f>IF((SUMIFS(Effektmåling!$J$178:$J$182,Effektmåling!$D$178:$D$182,$B48,$AH$120:$AH$124,BD$3))&lt;&gt;0,(SUMIFS(Effektmåling!$J$178:$J$182,Effektmåling!$D$178:$D$182,$B48,$AH$120:$AH$124,BD$3))*-AW48,"")</f>
        <v/>
      </c>
      <c r="BE48" s="29" t="str">
        <f>IF((SUMIFS(Effektmåling!$J$178:$J$182,Effektmåling!$D$178:$D$182,$B48,$AH$120:$AH$124,BE$3))&lt;&gt;0,(SUMIFS(Effektmåling!$J$178:$J$182,Effektmåling!$D$178:$D$182,$B48,$AH$120:$AH$124,BE$3))*-AX48,"")</f>
        <v/>
      </c>
      <c r="BF48" s="29" t="str">
        <f>IF((SUMIFS(Effektmåling!$J$178:$J$182,Effektmåling!$D$178:$D$182,$B48,$AH$120:$AH$124,BF$3))&lt;&gt;0,(SUMIFS(Effektmåling!$J$178:$J$182,Effektmåling!$D$178:$D$182,$B48,$AH$120:$AH$124,BF$3))*-AY48,"")</f>
        <v/>
      </c>
      <c r="BH48" s="29" t="str">
        <f>IF((SUMIFS(Effektmåling!$J$163:$J$167,Effektmåling!$D$163:$D$167,$B48,$AO$120:$AO$124,BH$3))&lt;&gt;0,(SUMIFS(Effektmåling!$J$163:$J$167,Effektmåling!$D$163:$D$167,$B48,$AO$120:$AO$124,BH$3))*-AT48,"")</f>
        <v/>
      </c>
      <c r="BI48" s="29" t="str">
        <f>IF((SUMIFS(Effektmåling!$J$163:$J$167,Effektmåling!$D$163:$D$167,$B48,$AO$120:$AO$124,BI$3))&lt;&gt;0,(SUMIFS(Effektmåling!$J$163:$J$167,Effektmåling!$D$163:$D$167,$B48,$AO$120:$AO$124,BI$3))*-AU48,"")</f>
        <v/>
      </c>
      <c r="BJ48" s="29" t="str">
        <f>IF((SUMIFS(Effektmåling!$J$163:$J$167,Effektmåling!$D$163:$D$167,$B48,$AO$120:$AO$124,BJ$3))&lt;&gt;0,(SUMIFS(Effektmåling!$J$163:$J$167,Effektmåling!$D$163:$D$167,$B48,$AO$120:$AO$124,BJ$3))*-AV48,"")</f>
        <v/>
      </c>
      <c r="BK48" s="29" t="str">
        <f>IF((SUMIFS(Effektmåling!$J$163:$J$167,Effektmåling!$D$163:$D$167,$B48,$AO$120:$AO$124,BK$3))&lt;&gt;0,(SUMIFS(Effektmåling!$J$163:$J$167,Effektmåling!$D$163:$D$167,$B48,$AO$120:$AO$124,BK$3))*-AW48,"")</f>
        <v/>
      </c>
      <c r="BL48" s="29" t="str">
        <f>IF((SUMIFS(Effektmåling!$J$163:$J$167,Effektmåling!$D$163:$D$167,$B48,$AO$120:$AO$124,BL$3))&lt;&gt;0,(SUMIFS(Effektmåling!$J$163:$J$167,Effektmåling!$D$163:$D$167,$B48,$AO$120:$AO$124,BL$3))*-AX48,"")</f>
        <v/>
      </c>
      <c r="BM48" s="29" t="str">
        <f>IF((SUMIFS(Effektmåling!$J$163:$J$167,Effektmåling!$D$163:$D$167,$B48,$AO$120:$AO$124,BM$3))&lt;&gt;0,(SUMIFS(Effektmåling!$J$163:$J$167,Effektmåling!$D$163:$D$167,$B48,$AO$120:$AO$124,BM$3))*-AY48,"")</f>
        <v/>
      </c>
      <c r="BO48" s="211">
        <f t="shared" ca="1" si="24"/>
        <v>100000</v>
      </c>
      <c r="BP48" s="207" t="str">
        <f t="shared" si="52"/>
        <v>Kød, okse-</v>
      </c>
      <c r="BQ48" s="29">
        <f t="shared" ca="1" si="25"/>
        <v>0</v>
      </c>
      <c r="BR48" s="29">
        <f t="shared" ca="1" si="53"/>
        <v>100000</v>
      </c>
      <c r="BS48" s="29"/>
      <c r="BT48" s="29"/>
      <c r="BU48" s="29"/>
      <c r="BV48" s="29"/>
      <c r="BW48" s="212"/>
    </row>
    <row r="49" spans="1:82" x14ac:dyDescent="0.15">
      <c r="A49" s="474">
        <f t="shared" si="5"/>
        <v>45</v>
      </c>
      <c r="B49" s="19" t="s">
        <v>290</v>
      </c>
      <c r="C49" s="19">
        <v>1</v>
      </c>
      <c r="D49" s="27">
        <v>12.35</v>
      </c>
      <c r="E49" s="25"/>
      <c r="F49" s="26">
        <v>8.3000000000000001E-3</v>
      </c>
      <c r="G49" s="25"/>
      <c r="H49" s="119">
        <v>0</v>
      </c>
      <c r="I49" s="74">
        <v>0</v>
      </c>
      <c r="J49" s="119">
        <v>0</v>
      </c>
      <c r="K49" s="74">
        <v>0</v>
      </c>
      <c r="L49" s="131"/>
      <c r="M49" s="74">
        <v>0</v>
      </c>
      <c r="O49" s="142">
        <f t="shared" si="18"/>
        <v>8.3000000000000001E-3</v>
      </c>
      <c r="P49" s="142">
        <f t="shared" si="19"/>
        <v>0</v>
      </c>
      <c r="Q49" s="142">
        <f t="shared" si="20"/>
        <v>0</v>
      </c>
      <c r="R49" s="142">
        <f t="shared" si="21"/>
        <v>-8.3000000000000001E-3</v>
      </c>
      <c r="S49" s="142">
        <f t="shared" si="22"/>
        <v>-8.3000000000000001E-3</v>
      </c>
      <c r="T49" s="142">
        <f t="shared" si="23"/>
        <v>0</v>
      </c>
      <c r="V49" s="29">
        <f ca="1">SUMIF(Effektmåling!$D$53:$E$57,'DB materialer'!B49,Effektmåling!$H$53:$H$57)</f>
        <v>0</v>
      </c>
      <c r="W49" s="477" t="str">
        <f ca="1">IF((V49*D49)=0,"",IF(Effektmåling!$Q$241="Ja",1.3*(V49*D49),V49*D49))</f>
        <v/>
      </c>
      <c r="X49" s="29" t="str">
        <f ca="1">IF(W49="","",RANK(W49,$W$7:$W$56,0)+COUNTIF($W$7:W49,W49)-1)</f>
        <v/>
      </c>
      <c r="Y49" s="29" t="str">
        <f t="shared" ca="1" si="54"/>
        <v/>
      </c>
      <c r="AA49" s="29">
        <f ca="1">$C$122*SUMIF(Effektmåling!$D$128:$E$132,'DB materialer'!$B49,Effektmåling!$I$128:$I$132)</f>
        <v>0</v>
      </c>
      <c r="AB49" s="477" t="str">
        <f ca="1">IF((AA49*D49)=0,"",IF(Effektmåling!$Q$241="Ja",1.3*(AA49*D49),AA49*D49))</f>
        <v/>
      </c>
      <c r="AC49" s="29" t="str">
        <f ca="1">IF(AB49="","",RANK(AB49,$AB$7:$AB$56,0)+COUNTIF($AB$7:AB49,AB49)-1)</f>
        <v/>
      </c>
      <c r="AD49" s="29">
        <f t="shared" ca="1" si="51"/>
        <v>0</v>
      </c>
      <c r="AE49" s="29"/>
      <c r="AF49" s="29" t="str">
        <f>IF((SUMIFS(Effektmåling!$J$178:$J$182,Effektmåling!$D$178:$D$182,$B49,$AH$120:$AH$124,'DB materialer'!AF$3))&lt;&gt;0,(SUMIFS(Effektmåling!$J$178:$J$182,Effektmåling!$D$178:$D$182,$B49,$AH$120:$AH$124,'DB materialer'!AF$3))*-O49,"")</f>
        <v/>
      </c>
      <c r="AG49" s="29" t="str">
        <f>IF((SUMIFS(Effektmåling!$J$178:$J$182,Effektmåling!$D$178:$D$182,$B49,$AH$120:$AH$124,'DB materialer'!AG$3))&lt;&gt;0,(SUMIFS(Effektmåling!$J$178:$J$182,Effektmåling!$D$178:$D$182,$B49,$AH$120:$AH$124,'DB materialer'!AG$3))*-P49,"")</f>
        <v/>
      </c>
      <c r="AH49" s="29" t="str">
        <f>IF((SUMIFS(Effektmåling!$J$178:$J$182,Effektmåling!$D$178:$D$182,$B49,$AH$120:$AH$124,'DB materialer'!AH$3))&lt;&gt;0,(SUMIFS(Effektmåling!$J$178:$J$182,Effektmåling!$D$178:$D$182,$B49,$AH$120:$AH$124,'DB materialer'!AH$3))*-Q49,"")</f>
        <v/>
      </c>
      <c r="AI49" s="29" t="str">
        <f>IF((SUMIFS(Effektmåling!$J$178:$J$182,Effektmåling!$D$178:$D$182,$B49,$AH$120:$AH$124,'DB materialer'!AI$3))&lt;&gt;0,(SUMIFS(Effektmåling!$J$178:$J$182,Effektmåling!$D$178:$D$182,$B49,$AH$120:$AH$124,'DB materialer'!AI$3))*-R49,"")</f>
        <v/>
      </c>
      <c r="AJ49" s="29" t="str">
        <f>IF((SUMIFS(Effektmåling!$J$178:$J$182,Effektmåling!$D$178:$D$182,$B49,$AH$120:$AH$124,'DB materialer'!AJ$3))&lt;&gt;0,(SUMIFS(Effektmåling!$J$178:$J$182,Effektmåling!$D$178:$D$182,$B49,$AH$120:$AH$124,'DB materialer'!AJ$3))*-S49,"")</f>
        <v/>
      </c>
      <c r="AK49" s="29" t="str">
        <f>IF((SUMIFS(Effektmåling!$J$178:$J$182,Effektmåling!$D$178:$D$182,$B49,$AH$120:$AH$124,'DB materialer'!AK$3))&lt;&gt;0,(SUMIFS(Effektmåling!$J$178:$J$182,Effektmåling!$D$178:$D$182,$B49,$AH$120:$AH$124,'DB materialer'!AK$3))*-T49,"")</f>
        <v/>
      </c>
      <c r="AM49" s="29" t="str">
        <f>IF((SUMIFS(Effektmåling!$J$163:$J$167,Effektmåling!$D$163:$D$167,$B49,$AO$120:$AO$124,'DB materialer'!AM$3))&lt;&gt;0,(SUMIFS(Effektmåling!$J$163:$J$167,Effektmåling!$D$163:$D$167,$B49,$AO$120:$AO$124,'DB materialer'!AM$3))*(-O49)*($C$122),"")</f>
        <v/>
      </c>
      <c r="AN49" s="29" t="str">
        <f>IF((SUMIFS(Effektmåling!$J$163:$J$167,Effektmåling!$D$163:$D$167,$B49,$AO$120:$AO$124,'DB materialer'!AN$3))&lt;&gt;0,(SUMIFS(Effektmåling!$J$163:$J$167,Effektmåling!$D$163:$D$167,$B49,$AO$120:$AO$124,'DB materialer'!AN$3))*(-P49)*($C$122),"")</f>
        <v/>
      </c>
      <c r="AO49" s="29" t="str">
        <f>IF((SUMIFS(Effektmåling!$J$163:$J$167,Effektmåling!$D$163:$D$167,$B49,$AO$120:$AO$124,'DB materialer'!AO$3))&lt;&gt;0,(SUMIFS(Effektmåling!$J$163:$J$167,Effektmåling!$D$163:$D$167,$B49,$AO$120:$AO$124,'DB materialer'!AO$3))*(-Q49)*($C$122),"")</f>
        <v/>
      </c>
      <c r="AP49" s="29" t="str">
        <f>IF((SUMIFS(Effektmåling!$J$163:$J$167,Effektmåling!$D$163:$D$167,$B49,$AO$120:$AO$124,'DB materialer'!AP$3))&lt;&gt;0,(SUMIFS(Effektmåling!$J$163:$J$167,Effektmåling!$D$163:$D$167,$B49,$AO$120:$AO$124,'DB materialer'!AP$3))*(-R49)*($C$122),"")</f>
        <v/>
      </c>
      <c r="AQ49" s="29" t="str">
        <f>IF((SUMIFS(Effektmåling!$J$163:$J$167,Effektmåling!$D$163:$D$167,$B49,$AO$120:$AO$124,'DB materialer'!AQ$3))&lt;&gt;0,(SUMIFS(Effektmåling!$J$163:$J$167,Effektmåling!$D$163:$D$167,$B49,$AO$120:$AO$124,'DB materialer'!AQ$3))*(-S49)*($C$122),"")</f>
        <v/>
      </c>
      <c r="AR49" s="29" t="str">
        <f>IF((SUMIFS(Effektmåling!$J$163:$J$167,Effektmåling!$D$163:$D$167,$B49,$AO$120:$AO$124,'DB materialer'!AR$3))&lt;&gt;0,(SUMIFS(Effektmåling!$J$163:$J$167,Effektmåling!$D$163:$D$167,$B49,$AO$120:$AO$124,'DB materialer'!AR$3))*(-T49)*($C$122),"")</f>
        <v/>
      </c>
      <c r="AT49" s="30">
        <f t="shared" si="55"/>
        <v>1.0000000000000001E-30</v>
      </c>
      <c r="AU49" s="40">
        <f t="shared" si="56"/>
        <v>1.0000000000000001E-30</v>
      </c>
      <c r="AV49" s="41">
        <f t="shared" si="57"/>
        <v>1.0000000000000001E-30</v>
      </c>
      <c r="AW49" s="40">
        <f t="shared" si="58"/>
        <v>1.0000000000000001E-30</v>
      </c>
      <c r="AX49" s="41">
        <f t="shared" si="59"/>
        <v>1.0000000000000001E-30</v>
      </c>
      <c r="AY49" s="41">
        <f t="shared" si="60"/>
        <v>1.0000000000000001E-30</v>
      </c>
      <c r="BA49" s="29" t="str">
        <f>IF((SUMIFS(Effektmåling!$J$178:$J$182,Effektmåling!$D$178:$D$182,$B49,$AH$120:$AH$124,BA$3))&lt;&gt;0,(SUMIFS(Effektmåling!$J$178:$J$182,Effektmåling!$D$178:$D$182,$B49,$AH$120:$AH$124,BA$3))*-AT49,"")</f>
        <v/>
      </c>
      <c r="BB49" s="29" t="str">
        <f>IF((SUMIFS(Effektmåling!$J$178:$J$182,Effektmåling!$D$178:$D$182,$B49,$AH$120:$AH$124,BB$3))&lt;&gt;0,(SUMIFS(Effektmåling!$J$178:$J$182,Effektmåling!$D$178:$D$182,$B49,$AH$120:$AH$124,BB$3))*-AU49,"")</f>
        <v/>
      </c>
      <c r="BC49" s="29" t="str">
        <f>IF((SUMIFS(Effektmåling!$J$178:$J$182,Effektmåling!$D$178:$D$182,$B49,$AH$120:$AH$124,BC$3))&lt;&gt;0,(SUMIFS(Effektmåling!$J$178:$J$182,Effektmåling!$D$178:$D$182,$B49,$AH$120:$AH$124,BC$3))*-AV49,"")</f>
        <v/>
      </c>
      <c r="BD49" s="29" t="str">
        <f>IF((SUMIFS(Effektmåling!$J$178:$J$182,Effektmåling!$D$178:$D$182,$B49,$AH$120:$AH$124,BD$3))&lt;&gt;0,(SUMIFS(Effektmåling!$J$178:$J$182,Effektmåling!$D$178:$D$182,$B49,$AH$120:$AH$124,BD$3))*-AW49,"")</f>
        <v/>
      </c>
      <c r="BE49" s="29" t="str">
        <f>IF((SUMIFS(Effektmåling!$J$178:$J$182,Effektmåling!$D$178:$D$182,$B49,$AH$120:$AH$124,BE$3))&lt;&gt;0,(SUMIFS(Effektmåling!$J$178:$J$182,Effektmåling!$D$178:$D$182,$B49,$AH$120:$AH$124,BE$3))*-AX49,"")</f>
        <v/>
      </c>
      <c r="BF49" s="29" t="str">
        <f>IF((SUMIFS(Effektmåling!$J$178:$J$182,Effektmåling!$D$178:$D$182,$B49,$AH$120:$AH$124,BF$3))&lt;&gt;0,(SUMIFS(Effektmåling!$J$178:$J$182,Effektmåling!$D$178:$D$182,$B49,$AH$120:$AH$124,BF$3))*-AY49,"")</f>
        <v/>
      </c>
      <c r="BH49" s="29" t="str">
        <f>IF((SUMIFS(Effektmåling!$J$163:$J$167,Effektmåling!$D$163:$D$167,$B49,$AO$120:$AO$124,BH$3))&lt;&gt;0,(SUMIFS(Effektmåling!$J$163:$J$167,Effektmåling!$D$163:$D$167,$B49,$AO$120:$AO$124,BH$3))*-AT49,"")</f>
        <v/>
      </c>
      <c r="BI49" s="29" t="str">
        <f>IF((SUMIFS(Effektmåling!$J$163:$J$167,Effektmåling!$D$163:$D$167,$B49,$AO$120:$AO$124,BI$3))&lt;&gt;0,(SUMIFS(Effektmåling!$J$163:$J$167,Effektmåling!$D$163:$D$167,$B49,$AO$120:$AO$124,BI$3))*-AU49,"")</f>
        <v/>
      </c>
      <c r="BJ49" s="29" t="str">
        <f>IF((SUMIFS(Effektmåling!$J$163:$J$167,Effektmåling!$D$163:$D$167,$B49,$AO$120:$AO$124,BJ$3))&lt;&gt;0,(SUMIFS(Effektmåling!$J$163:$J$167,Effektmåling!$D$163:$D$167,$B49,$AO$120:$AO$124,BJ$3))*-AV49,"")</f>
        <v/>
      </c>
      <c r="BK49" s="29" t="str">
        <f>IF((SUMIFS(Effektmåling!$J$163:$J$167,Effektmåling!$D$163:$D$167,$B49,$AO$120:$AO$124,BK$3))&lt;&gt;0,(SUMIFS(Effektmåling!$J$163:$J$167,Effektmåling!$D$163:$D$167,$B49,$AO$120:$AO$124,BK$3))*-AW49,"")</f>
        <v/>
      </c>
      <c r="BL49" s="29" t="str">
        <f>IF((SUMIFS(Effektmåling!$J$163:$J$167,Effektmåling!$D$163:$D$167,$B49,$AO$120:$AO$124,BL$3))&lt;&gt;0,(SUMIFS(Effektmåling!$J$163:$J$167,Effektmåling!$D$163:$D$167,$B49,$AO$120:$AO$124,BL$3))*-AX49,"")</f>
        <v/>
      </c>
      <c r="BM49" s="29" t="str">
        <f>IF((SUMIFS(Effektmåling!$J$163:$J$167,Effektmåling!$D$163:$D$167,$B49,$AO$120:$AO$124,BM$3))&lt;&gt;0,(SUMIFS(Effektmåling!$J$163:$J$167,Effektmåling!$D$163:$D$167,$B49,$AO$120:$AO$124,BM$3))*-AY49,"")</f>
        <v/>
      </c>
      <c r="BO49" s="211">
        <f t="shared" ca="1" si="24"/>
        <v>100000</v>
      </c>
      <c r="BP49" s="207" t="str">
        <f t="shared" si="52"/>
        <v>Ost</v>
      </c>
      <c r="BQ49" s="29">
        <f t="shared" ca="1" si="25"/>
        <v>0</v>
      </c>
      <c r="BR49" s="29">
        <f t="shared" ca="1" si="53"/>
        <v>100000</v>
      </c>
      <c r="BS49" s="29"/>
      <c r="BT49" s="29"/>
      <c r="BU49" s="29"/>
      <c r="BV49" s="29"/>
      <c r="BW49" s="212"/>
    </row>
    <row r="50" spans="1:82" x14ac:dyDescent="0.15">
      <c r="A50" s="474">
        <f t="shared" si="5"/>
        <v>46</v>
      </c>
      <c r="B50" s="19" t="s">
        <v>291</v>
      </c>
      <c r="C50" s="19">
        <v>1</v>
      </c>
      <c r="D50" s="27">
        <v>2.0019999999999998</v>
      </c>
      <c r="E50" s="25"/>
      <c r="F50" s="26">
        <v>8.3000000000000001E-3</v>
      </c>
      <c r="G50" s="25"/>
      <c r="H50" s="119">
        <v>0</v>
      </c>
      <c r="I50" s="74">
        <v>0</v>
      </c>
      <c r="J50" s="119">
        <v>0</v>
      </c>
      <c r="K50" s="74">
        <v>0</v>
      </c>
      <c r="L50" s="131"/>
      <c r="M50" s="74">
        <v>0</v>
      </c>
      <c r="O50" s="142">
        <f t="shared" si="18"/>
        <v>8.3000000000000001E-3</v>
      </c>
      <c r="P50" s="142">
        <f t="shared" si="19"/>
        <v>0</v>
      </c>
      <c r="Q50" s="142">
        <f t="shared" si="20"/>
        <v>0</v>
      </c>
      <c r="R50" s="142">
        <f t="shared" si="21"/>
        <v>-8.3000000000000001E-3</v>
      </c>
      <c r="S50" s="142">
        <f t="shared" si="22"/>
        <v>-8.3000000000000001E-3</v>
      </c>
      <c r="T50" s="142">
        <f t="shared" si="23"/>
        <v>0</v>
      </c>
      <c r="V50" s="29">
        <f ca="1">SUMIF(Effektmåling!$D$53:$E$57,'DB materialer'!B50,Effektmåling!$H$53:$H$57)</f>
        <v>0</v>
      </c>
      <c r="W50" s="477" t="str">
        <f ca="1">IF((V50*D50)=0,"",IF(Effektmåling!$Q$241="Ja",1.3*(V50*D50),V50*D50))</f>
        <v/>
      </c>
      <c r="X50" s="29" t="str">
        <f ca="1">IF(W50="","",RANK(W50,$W$7:$W$56,0)+COUNTIF($W$7:W50,W50)-1)</f>
        <v/>
      </c>
      <c r="Y50" s="29" t="str">
        <f t="shared" ca="1" si="54"/>
        <v/>
      </c>
      <c r="AA50" s="29">
        <f ca="1">$C$122*SUMIF(Effektmåling!$D$128:$E$132,'DB materialer'!$B50,Effektmåling!$I$128:$I$132)</f>
        <v>0</v>
      </c>
      <c r="AB50" s="477" t="str">
        <f ca="1">IF((AA50*D50)=0,"",IF(Effektmåling!$Q$241="Ja",1.3*(AA50*D50),AA50*D50))</f>
        <v/>
      </c>
      <c r="AC50" s="29" t="str">
        <f ca="1">IF(AB50="","",RANK(AB50,$AB$7:$AB$56,0)+COUNTIF($AB$7:AB50,AB50)-1)</f>
        <v/>
      </c>
      <c r="AD50" s="29">
        <f t="shared" ca="1" si="51"/>
        <v>0</v>
      </c>
      <c r="AE50" s="29"/>
      <c r="AF50" s="29" t="str">
        <f>IF((SUMIFS(Effektmåling!$J$178:$J$182,Effektmåling!$D$178:$D$182,$B50,$AH$120:$AH$124,'DB materialer'!AF$3))&lt;&gt;0,(SUMIFS(Effektmåling!$J$178:$J$182,Effektmåling!$D$178:$D$182,$B50,$AH$120:$AH$124,'DB materialer'!AF$3))*-O50,"")</f>
        <v/>
      </c>
      <c r="AG50" s="29" t="str">
        <f>IF((SUMIFS(Effektmåling!$J$178:$J$182,Effektmåling!$D$178:$D$182,$B50,$AH$120:$AH$124,'DB materialer'!AG$3))&lt;&gt;0,(SUMIFS(Effektmåling!$J$178:$J$182,Effektmåling!$D$178:$D$182,$B50,$AH$120:$AH$124,'DB materialer'!AG$3))*-P50,"")</f>
        <v/>
      </c>
      <c r="AH50" s="29" t="str">
        <f>IF((SUMIFS(Effektmåling!$J$178:$J$182,Effektmåling!$D$178:$D$182,$B50,$AH$120:$AH$124,'DB materialer'!AH$3))&lt;&gt;0,(SUMIFS(Effektmåling!$J$178:$J$182,Effektmåling!$D$178:$D$182,$B50,$AH$120:$AH$124,'DB materialer'!AH$3))*-Q50,"")</f>
        <v/>
      </c>
      <c r="AI50" s="29" t="str">
        <f>IF((SUMIFS(Effektmåling!$J$178:$J$182,Effektmåling!$D$178:$D$182,$B50,$AH$120:$AH$124,'DB materialer'!AI$3))&lt;&gt;0,(SUMIFS(Effektmåling!$J$178:$J$182,Effektmåling!$D$178:$D$182,$B50,$AH$120:$AH$124,'DB materialer'!AI$3))*-R50,"")</f>
        <v/>
      </c>
      <c r="AJ50" s="29" t="str">
        <f>IF((SUMIFS(Effektmåling!$J$178:$J$182,Effektmåling!$D$178:$D$182,$B50,$AH$120:$AH$124,'DB materialer'!AJ$3))&lt;&gt;0,(SUMIFS(Effektmåling!$J$178:$J$182,Effektmåling!$D$178:$D$182,$B50,$AH$120:$AH$124,'DB materialer'!AJ$3))*-S50,"")</f>
        <v/>
      </c>
      <c r="AK50" s="29" t="str">
        <f>IF((SUMIFS(Effektmåling!$J$178:$J$182,Effektmåling!$D$178:$D$182,$B50,$AH$120:$AH$124,'DB materialer'!AK$3))&lt;&gt;0,(SUMIFS(Effektmåling!$J$178:$J$182,Effektmåling!$D$178:$D$182,$B50,$AH$120:$AH$124,'DB materialer'!AK$3))*-T50,"")</f>
        <v/>
      </c>
      <c r="AM50" s="29" t="str">
        <f>IF((SUMIFS(Effektmåling!$J$163:$J$167,Effektmåling!$D$163:$D$167,$B50,$AO$120:$AO$124,'DB materialer'!AM$3))&lt;&gt;0,(SUMIFS(Effektmåling!$J$163:$J$167,Effektmåling!$D$163:$D$167,$B50,$AO$120:$AO$124,'DB materialer'!AM$3))*(-O50)*($C$122),"")</f>
        <v/>
      </c>
      <c r="AN50" s="29" t="str">
        <f>IF((SUMIFS(Effektmåling!$J$163:$J$167,Effektmåling!$D$163:$D$167,$B50,$AO$120:$AO$124,'DB materialer'!AN$3))&lt;&gt;0,(SUMIFS(Effektmåling!$J$163:$J$167,Effektmåling!$D$163:$D$167,$B50,$AO$120:$AO$124,'DB materialer'!AN$3))*(-P50)*($C$122),"")</f>
        <v/>
      </c>
      <c r="AO50" s="29" t="str">
        <f>IF((SUMIFS(Effektmåling!$J$163:$J$167,Effektmåling!$D$163:$D$167,$B50,$AO$120:$AO$124,'DB materialer'!AO$3))&lt;&gt;0,(SUMIFS(Effektmåling!$J$163:$J$167,Effektmåling!$D$163:$D$167,$B50,$AO$120:$AO$124,'DB materialer'!AO$3))*(-Q50)*($C$122),"")</f>
        <v/>
      </c>
      <c r="AP50" s="29" t="str">
        <f>IF((SUMIFS(Effektmåling!$J$163:$J$167,Effektmåling!$D$163:$D$167,$B50,$AO$120:$AO$124,'DB materialer'!AP$3))&lt;&gt;0,(SUMIFS(Effektmåling!$J$163:$J$167,Effektmåling!$D$163:$D$167,$B50,$AO$120:$AO$124,'DB materialer'!AP$3))*(-R50)*($C$122),"")</f>
        <v/>
      </c>
      <c r="AQ50" s="29" t="str">
        <f>IF((SUMIFS(Effektmåling!$J$163:$J$167,Effektmåling!$D$163:$D$167,$B50,$AO$120:$AO$124,'DB materialer'!AQ$3))&lt;&gt;0,(SUMIFS(Effektmåling!$J$163:$J$167,Effektmåling!$D$163:$D$167,$B50,$AO$120:$AO$124,'DB materialer'!AQ$3))*(-S50)*($C$122),"")</f>
        <v/>
      </c>
      <c r="AR50" s="29" t="str">
        <f>IF((SUMIFS(Effektmåling!$J$163:$J$167,Effektmåling!$D$163:$D$167,$B50,$AO$120:$AO$124,'DB materialer'!AR$3))&lt;&gt;0,(SUMIFS(Effektmåling!$J$163:$J$167,Effektmåling!$D$163:$D$167,$B50,$AO$120:$AO$124,'DB materialer'!AR$3))*(-T50)*($C$122),"")</f>
        <v/>
      </c>
      <c r="AT50" s="30">
        <f t="shared" si="55"/>
        <v>1.0000000000000001E-30</v>
      </c>
      <c r="AU50" s="40">
        <f t="shared" si="56"/>
        <v>1.0000000000000001E-30</v>
      </c>
      <c r="AV50" s="41">
        <f t="shared" si="57"/>
        <v>1.0000000000000001E-30</v>
      </c>
      <c r="AW50" s="40">
        <f t="shared" si="58"/>
        <v>1.0000000000000001E-30</v>
      </c>
      <c r="AX50" s="41">
        <f t="shared" si="59"/>
        <v>1.0000000000000001E-30</v>
      </c>
      <c r="AY50" s="41">
        <f t="shared" si="60"/>
        <v>1.0000000000000001E-30</v>
      </c>
      <c r="BA50" s="29" t="str">
        <f>IF((SUMIFS(Effektmåling!$J$178:$J$182,Effektmåling!$D$178:$D$182,$B50,$AH$120:$AH$124,BA$3))&lt;&gt;0,(SUMIFS(Effektmåling!$J$178:$J$182,Effektmåling!$D$178:$D$182,$B50,$AH$120:$AH$124,BA$3))*-AT50,"")</f>
        <v/>
      </c>
      <c r="BB50" s="29" t="str">
        <f>IF((SUMIFS(Effektmåling!$J$178:$J$182,Effektmåling!$D$178:$D$182,$B50,$AH$120:$AH$124,BB$3))&lt;&gt;0,(SUMIFS(Effektmåling!$J$178:$J$182,Effektmåling!$D$178:$D$182,$B50,$AH$120:$AH$124,BB$3))*-AU50,"")</f>
        <v/>
      </c>
      <c r="BC50" s="29" t="str">
        <f>IF((SUMIFS(Effektmåling!$J$178:$J$182,Effektmåling!$D$178:$D$182,$B50,$AH$120:$AH$124,BC$3))&lt;&gt;0,(SUMIFS(Effektmåling!$J$178:$J$182,Effektmåling!$D$178:$D$182,$B50,$AH$120:$AH$124,BC$3))*-AV50,"")</f>
        <v/>
      </c>
      <c r="BD50" s="29" t="str">
        <f>IF((SUMIFS(Effektmåling!$J$178:$J$182,Effektmåling!$D$178:$D$182,$B50,$AH$120:$AH$124,BD$3))&lt;&gt;0,(SUMIFS(Effektmåling!$J$178:$J$182,Effektmåling!$D$178:$D$182,$B50,$AH$120:$AH$124,BD$3))*-AW50,"")</f>
        <v/>
      </c>
      <c r="BE50" s="29" t="str">
        <f>IF((SUMIFS(Effektmåling!$J$178:$J$182,Effektmåling!$D$178:$D$182,$B50,$AH$120:$AH$124,BE$3))&lt;&gt;0,(SUMIFS(Effektmåling!$J$178:$J$182,Effektmåling!$D$178:$D$182,$B50,$AH$120:$AH$124,BE$3))*-AX50,"")</f>
        <v/>
      </c>
      <c r="BF50" s="29" t="str">
        <f>IF((SUMIFS(Effektmåling!$J$178:$J$182,Effektmåling!$D$178:$D$182,$B50,$AH$120:$AH$124,BF$3))&lt;&gt;0,(SUMIFS(Effektmåling!$J$178:$J$182,Effektmåling!$D$178:$D$182,$B50,$AH$120:$AH$124,BF$3))*-AY50,"")</f>
        <v/>
      </c>
      <c r="BH50" s="29" t="str">
        <f>IF((SUMIFS(Effektmåling!$J$163:$J$167,Effektmåling!$D$163:$D$167,$B50,$AO$120:$AO$124,BH$3))&lt;&gt;0,(SUMIFS(Effektmåling!$J$163:$J$167,Effektmåling!$D$163:$D$167,$B50,$AO$120:$AO$124,BH$3))*-AT50,"")</f>
        <v/>
      </c>
      <c r="BI50" s="29" t="str">
        <f>IF((SUMIFS(Effektmåling!$J$163:$J$167,Effektmåling!$D$163:$D$167,$B50,$AO$120:$AO$124,BI$3))&lt;&gt;0,(SUMIFS(Effektmåling!$J$163:$J$167,Effektmåling!$D$163:$D$167,$B50,$AO$120:$AO$124,BI$3))*-AU50,"")</f>
        <v/>
      </c>
      <c r="BJ50" s="29" t="str">
        <f>IF((SUMIFS(Effektmåling!$J$163:$J$167,Effektmåling!$D$163:$D$167,$B50,$AO$120:$AO$124,BJ$3))&lt;&gt;0,(SUMIFS(Effektmåling!$J$163:$J$167,Effektmåling!$D$163:$D$167,$B50,$AO$120:$AO$124,BJ$3))*-AV50,"")</f>
        <v/>
      </c>
      <c r="BK50" s="29" t="str">
        <f>IF((SUMIFS(Effektmåling!$J$163:$J$167,Effektmåling!$D$163:$D$167,$B50,$AO$120:$AO$124,BK$3))&lt;&gt;0,(SUMIFS(Effektmåling!$J$163:$J$167,Effektmåling!$D$163:$D$167,$B50,$AO$120:$AO$124,BK$3))*-AW50,"")</f>
        <v/>
      </c>
      <c r="BL50" s="29" t="str">
        <f>IF((SUMIFS(Effektmåling!$J$163:$J$167,Effektmåling!$D$163:$D$167,$B50,$AO$120:$AO$124,BL$3))&lt;&gt;0,(SUMIFS(Effektmåling!$J$163:$J$167,Effektmåling!$D$163:$D$167,$B50,$AO$120:$AO$124,BL$3))*-AX50,"")</f>
        <v/>
      </c>
      <c r="BM50" s="29" t="str">
        <f>IF((SUMIFS(Effektmåling!$J$163:$J$167,Effektmåling!$D$163:$D$167,$B50,$AO$120:$AO$124,BM$3))&lt;&gt;0,(SUMIFS(Effektmåling!$J$163:$J$167,Effektmåling!$D$163:$D$167,$B50,$AO$120:$AO$124,BM$3))*-AY50,"")</f>
        <v/>
      </c>
      <c r="BO50" s="211">
        <f t="shared" ca="1" si="24"/>
        <v>100000</v>
      </c>
      <c r="BP50" s="207" t="str">
        <f t="shared" si="52"/>
        <v>Ris</v>
      </c>
      <c r="BQ50" s="29">
        <f t="shared" ca="1" si="25"/>
        <v>0</v>
      </c>
      <c r="BR50" s="29">
        <f t="shared" ca="1" si="53"/>
        <v>100000</v>
      </c>
      <c r="BS50" s="29"/>
      <c r="BT50" s="29"/>
      <c r="BU50" s="29"/>
      <c r="BV50" s="29"/>
      <c r="BW50" s="212"/>
    </row>
    <row r="51" spans="1:82" ht="21" x14ac:dyDescent="0.15">
      <c r="A51" s="474">
        <f t="shared" si="5"/>
        <v>47</v>
      </c>
      <c r="B51" s="19" t="s">
        <v>292</v>
      </c>
      <c r="C51" s="19">
        <v>1</v>
      </c>
      <c r="D51" s="22">
        <v>1E-4</v>
      </c>
      <c r="E51" s="22">
        <v>2.9000000000000001E-2</v>
      </c>
      <c r="F51" s="22">
        <v>2.9000000000000001E-2</v>
      </c>
      <c r="G51" s="22">
        <v>2.9000000000000001E-2</v>
      </c>
      <c r="H51" s="119">
        <v>0</v>
      </c>
      <c r="I51" s="74">
        <v>0</v>
      </c>
      <c r="J51" s="119">
        <v>0</v>
      </c>
      <c r="K51" s="74">
        <v>0</v>
      </c>
      <c r="L51" s="130">
        <v>4.2376484930889004E-2</v>
      </c>
      <c r="M51" s="74">
        <v>0</v>
      </c>
      <c r="O51" s="142">
        <f t="shared" si="18"/>
        <v>0</v>
      </c>
      <c r="P51" s="142">
        <f t="shared" si="19"/>
        <v>0</v>
      </c>
      <c r="Q51" s="142">
        <f t="shared" si="20"/>
        <v>-2.9000000000000001E-2</v>
      </c>
      <c r="R51" s="142">
        <f t="shared" si="21"/>
        <v>0</v>
      </c>
      <c r="S51" s="142">
        <f t="shared" si="22"/>
        <v>-2.9000000000000001E-2</v>
      </c>
      <c r="T51" s="142">
        <f t="shared" si="23"/>
        <v>-2.9000000000000001E-2</v>
      </c>
      <c r="V51" s="29">
        <f ca="1">SUMIF(Effektmåling!$D$53:$E$57,'DB materialer'!B51,Effektmåling!$H$53:$H$57)</f>
        <v>0</v>
      </c>
      <c r="W51" s="477" t="str">
        <f ca="1">IF((V51*D51)=0,"",IF(Effektmåling!$Q$241="Ja",1.3*(V51*D51),V51*D51))</f>
        <v/>
      </c>
      <c r="X51" s="29" t="str">
        <f ca="1">IF(W51="","",RANK(W51,$W$7:$W$56,0)+COUNTIF($W$7:W51,W51)-1)</f>
        <v/>
      </c>
      <c r="Y51" s="29" t="str">
        <f t="shared" ca="1" si="54"/>
        <v/>
      </c>
      <c r="AA51" s="29">
        <f ca="1">$C$122*SUMIF(Effektmåling!$D$128:$E$132,'DB materialer'!$B51,Effektmåling!$I$128:$I$132)</f>
        <v>0</v>
      </c>
      <c r="AB51" s="477" t="str">
        <f ca="1">IF((AA51*D51)=0,"",IF(Effektmåling!$Q$241="Ja",1.3*(AA51*D51),AA51*D51))</f>
        <v/>
      </c>
      <c r="AC51" s="29" t="str">
        <f ca="1">IF(AB51="","",RANK(AB51,$AB$7:$AB$56,0)+COUNTIF($AB$7:AB51,AB51)-1)</f>
        <v/>
      </c>
      <c r="AD51" s="29">
        <f t="shared" ca="1" si="51"/>
        <v>0</v>
      </c>
      <c r="AE51" s="29"/>
      <c r="AF51" s="29" t="str">
        <f>IF((SUMIFS(Effektmåling!$J$178:$J$182,Effektmåling!$D$178:$D$182,$B51,$AH$120:$AH$124,'DB materialer'!AF$3))&lt;&gt;0,(SUMIFS(Effektmåling!$J$178:$J$182,Effektmåling!$D$178:$D$182,$B51,$AH$120:$AH$124,'DB materialer'!AF$3))*-O51,"")</f>
        <v/>
      </c>
      <c r="AG51" s="29" t="str">
        <f>IF((SUMIFS(Effektmåling!$J$178:$J$182,Effektmåling!$D$178:$D$182,$B51,$AH$120:$AH$124,'DB materialer'!AG$3))&lt;&gt;0,(SUMIFS(Effektmåling!$J$178:$J$182,Effektmåling!$D$178:$D$182,$B51,$AH$120:$AH$124,'DB materialer'!AG$3))*-P51,"")</f>
        <v/>
      </c>
      <c r="AH51" s="29" t="str">
        <f>IF((SUMIFS(Effektmåling!$J$178:$J$182,Effektmåling!$D$178:$D$182,$B51,$AH$120:$AH$124,'DB materialer'!AH$3))&lt;&gt;0,(SUMIFS(Effektmåling!$J$178:$J$182,Effektmåling!$D$178:$D$182,$B51,$AH$120:$AH$124,'DB materialer'!AH$3))*-Q51,"")</f>
        <v/>
      </c>
      <c r="AI51" s="29" t="str">
        <f>IF((SUMIFS(Effektmåling!$J$178:$J$182,Effektmåling!$D$178:$D$182,$B51,$AH$120:$AH$124,'DB materialer'!AI$3))&lt;&gt;0,(SUMIFS(Effektmåling!$J$178:$J$182,Effektmåling!$D$178:$D$182,$B51,$AH$120:$AH$124,'DB materialer'!AI$3))*-R51,"")</f>
        <v/>
      </c>
      <c r="AJ51" s="29" t="str">
        <f>IF((SUMIFS(Effektmåling!$J$178:$J$182,Effektmåling!$D$178:$D$182,$B51,$AH$120:$AH$124,'DB materialer'!AJ$3))&lt;&gt;0,(SUMIFS(Effektmåling!$J$178:$J$182,Effektmåling!$D$178:$D$182,$B51,$AH$120:$AH$124,'DB materialer'!AJ$3))*-S51,"")</f>
        <v/>
      </c>
      <c r="AK51" s="29" t="str">
        <f>IF((SUMIFS(Effektmåling!$J$178:$J$182,Effektmåling!$D$178:$D$182,$B51,$AH$120:$AH$124,'DB materialer'!AK$3))&lt;&gt;0,(SUMIFS(Effektmåling!$J$178:$J$182,Effektmåling!$D$178:$D$182,$B51,$AH$120:$AH$124,'DB materialer'!AK$3))*-T51,"")</f>
        <v/>
      </c>
      <c r="AM51" s="29" t="str">
        <f>IF((SUMIFS(Effektmåling!$J$163:$J$167,Effektmåling!$D$163:$D$167,$B51,$AO$120:$AO$124,'DB materialer'!AM$3))&lt;&gt;0,(SUMIFS(Effektmåling!$J$163:$J$167,Effektmåling!$D$163:$D$167,$B51,$AO$120:$AO$124,'DB materialer'!AM$3))*(-O51)*($C$122),"")</f>
        <v/>
      </c>
      <c r="AN51" s="29" t="str">
        <f>IF((SUMIFS(Effektmåling!$J$163:$J$167,Effektmåling!$D$163:$D$167,$B51,$AO$120:$AO$124,'DB materialer'!AN$3))&lt;&gt;0,(SUMIFS(Effektmåling!$J$163:$J$167,Effektmåling!$D$163:$D$167,$B51,$AO$120:$AO$124,'DB materialer'!AN$3))*(-P51)*($C$122),"")</f>
        <v/>
      </c>
      <c r="AO51" s="29" t="str">
        <f>IF((SUMIFS(Effektmåling!$J$163:$J$167,Effektmåling!$D$163:$D$167,$B51,$AO$120:$AO$124,'DB materialer'!AO$3))&lt;&gt;0,(SUMIFS(Effektmåling!$J$163:$J$167,Effektmåling!$D$163:$D$167,$B51,$AO$120:$AO$124,'DB materialer'!AO$3))*(-Q51)*($C$122),"")</f>
        <v/>
      </c>
      <c r="AP51" s="29" t="str">
        <f>IF((SUMIFS(Effektmåling!$J$163:$J$167,Effektmåling!$D$163:$D$167,$B51,$AO$120:$AO$124,'DB materialer'!AP$3))&lt;&gt;0,(SUMIFS(Effektmåling!$J$163:$J$167,Effektmåling!$D$163:$D$167,$B51,$AO$120:$AO$124,'DB materialer'!AP$3))*(-R51)*($C$122),"")</f>
        <v/>
      </c>
      <c r="AQ51" s="29" t="str">
        <f>IF((SUMIFS(Effektmåling!$J$163:$J$167,Effektmåling!$D$163:$D$167,$B51,$AO$120:$AO$124,'DB materialer'!AQ$3))&lt;&gt;0,(SUMIFS(Effektmåling!$J$163:$J$167,Effektmåling!$D$163:$D$167,$B51,$AO$120:$AO$124,'DB materialer'!AQ$3))*(-S51)*($C$122),"")</f>
        <v/>
      </c>
      <c r="AR51" s="29" t="str">
        <f>IF((SUMIFS(Effektmåling!$J$163:$J$167,Effektmåling!$D$163:$D$167,$B51,$AO$120:$AO$124,'DB materialer'!AR$3))&lt;&gt;0,(SUMIFS(Effektmåling!$J$163:$J$167,Effektmåling!$D$163:$D$167,$B51,$AO$120:$AO$124,'DB materialer'!AR$3))*(-T51)*($C$122),"")</f>
        <v/>
      </c>
      <c r="AT51" s="30">
        <f t="shared" si="55"/>
        <v>1.0000000000000001E-30</v>
      </c>
      <c r="AU51" s="40">
        <f t="shared" si="56"/>
        <v>4.2376484930889004E-2</v>
      </c>
      <c r="AV51" s="41">
        <f t="shared" si="57"/>
        <v>1.0000000000000001E-30</v>
      </c>
      <c r="AW51" s="40">
        <f t="shared" si="58"/>
        <v>4.2376484930889004E-2</v>
      </c>
      <c r="AX51" s="41">
        <f t="shared" si="59"/>
        <v>1.0000000000000001E-30</v>
      </c>
      <c r="AY51" s="41">
        <f t="shared" si="60"/>
        <v>-4.2376484930889004E-2</v>
      </c>
      <c r="BA51" s="29" t="str">
        <f>IF((SUMIFS(Effektmåling!$J$178:$J$182,Effektmåling!$D$178:$D$182,$B51,$AH$120:$AH$124,BA$3))&lt;&gt;0,(SUMIFS(Effektmåling!$J$178:$J$182,Effektmåling!$D$178:$D$182,$B51,$AH$120:$AH$124,BA$3))*-AT51,"")</f>
        <v/>
      </c>
      <c r="BB51" s="29" t="str">
        <f>IF((SUMIFS(Effektmåling!$J$178:$J$182,Effektmåling!$D$178:$D$182,$B51,$AH$120:$AH$124,BB$3))&lt;&gt;0,(SUMIFS(Effektmåling!$J$178:$J$182,Effektmåling!$D$178:$D$182,$B51,$AH$120:$AH$124,BB$3))*-AU51,"")</f>
        <v/>
      </c>
      <c r="BC51" s="29" t="str">
        <f>IF((SUMIFS(Effektmåling!$J$178:$J$182,Effektmåling!$D$178:$D$182,$B51,$AH$120:$AH$124,BC$3))&lt;&gt;0,(SUMIFS(Effektmåling!$J$178:$J$182,Effektmåling!$D$178:$D$182,$B51,$AH$120:$AH$124,BC$3))*-AV51,"")</f>
        <v/>
      </c>
      <c r="BD51" s="29" t="str">
        <f>IF((SUMIFS(Effektmåling!$J$178:$J$182,Effektmåling!$D$178:$D$182,$B51,$AH$120:$AH$124,BD$3))&lt;&gt;0,(SUMIFS(Effektmåling!$J$178:$J$182,Effektmåling!$D$178:$D$182,$B51,$AH$120:$AH$124,BD$3))*-AW51,"")</f>
        <v/>
      </c>
      <c r="BE51" s="29" t="str">
        <f>IF((SUMIFS(Effektmåling!$J$178:$J$182,Effektmåling!$D$178:$D$182,$B51,$AH$120:$AH$124,BE$3))&lt;&gt;0,(SUMIFS(Effektmåling!$J$178:$J$182,Effektmåling!$D$178:$D$182,$B51,$AH$120:$AH$124,BE$3))*-AX51,"")</f>
        <v/>
      </c>
      <c r="BF51" s="29" t="str">
        <f>IF((SUMIFS(Effektmåling!$J$178:$J$182,Effektmåling!$D$178:$D$182,$B51,$AH$120:$AH$124,BF$3))&lt;&gt;0,(SUMIFS(Effektmåling!$J$178:$J$182,Effektmåling!$D$178:$D$182,$B51,$AH$120:$AH$124,BF$3))*-AY51,"")</f>
        <v/>
      </c>
      <c r="BH51" s="29" t="str">
        <f>IF((SUMIFS(Effektmåling!$J$163:$J$167,Effektmåling!$D$163:$D$167,$B51,$AO$120:$AO$124,BH$3))&lt;&gt;0,(SUMIFS(Effektmåling!$J$163:$J$167,Effektmåling!$D$163:$D$167,$B51,$AO$120:$AO$124,BH$3))*-AT51,"")</f>
        <v/>
      </c>
      <c r="BI51" s="29" t="str">
        <f>IF((SUMIFS(Effektmåling!$J$163:$J$167,Effektmåling!$D$163:$D$167,$B51,$AO$120:$AO$124,BI$3))&lt;&gt;0,(SUMIFS(Effektmåling!$J$163:$J$167,Effektmåling!$D$163:$D$167,$B51,$AO$120:$AO$124,BI$3))*-AU51,"")</f>
        <v/>
      </c>
      <c r="BJ51" s="29" t="str">
        <f>IF((SUMIFS(Effektmåling!$J$163:$J$167,Effektmåling!$D$163:$D$167,$B51,$AO$120:$AO$124,BJ$3))&lt;&gt;0,(SUMIFS(Effektmåling!$J$163:$J$167,Effektmåling!$D$163:$D$167,$B51,$AO$120:$AO$124,BJ$3))*-AV51,"")</f>
        <v/>
      </c>
      <c r="BK51" s="29" t="str">
        <f>IF((SUMIFS(Effektmåling!$J$163:$J$167,Effektmåling!$D$163:$D$167,$B51,$AO$120:$AO$124,BK$3))&lt;&gt;0,(SUMIFS(Effektmåling!$J$163:$J$167,Effektmåling!$D$163:$D$167,$B51,$AO$120:$AO$124,BK$3))*-AW51,"")</f>
        <v/>
      </c>
      <c r="BL51" s="29" t="str">
        <f>IF((SUMIFS(Effektmåling!$J$163:$J$167,Effektmåling!$D$163:$D$167,$B51,$AO$120:$AO$124,BL$3))&lt;&gt;0,(SUMIFS(Effektmåling!$J$163:$J$167,Effektmåling!$D$163:$D$167,$B51,$AO$120:$AO$124,BL$3))*-AX51,"")</f>
        <v/>
      </c>
      <c r="BM51" s="29" t="str">
        <f>IF((SUMIFS(Effektmåling!$J$163:$J$167,Effektmåling!$D$163:$D$167,$B51,$AO$120:$AO$124,BM$3))&lt;&gt;0,(SUMIFS(Effektmåling!$J$163:$J$167,Effektmåling!$D$163:$D$167,$B51,$AO$120:$AO$124,BM$3))*-AY51,"")</f>
        <v/>
      </c>
      <c r="BO51" s="211">
        <f t="shared" ca="1" si="24"/>
        <v>100000</v>
      </c>
      <c r="BP51" s="207" t="str">
        <f t="shared" si="52"/>
        <v>Drikkevand</v>
      </c>
      <c r="BQ51" s="29">
        <f t="shared" ca="1" si="25"/>
        <v>0</v>
      </c>
      <c r="BR51" s="29">
        <f t="shared" ca="1" si="53"/>
        <v>100000</v>
      </c>
      <c r="BS51" s="29"/>
      <c r="BT51" s="29"/>
      <c r="BU51" s="29"/>
      <c r="BV51" s="29"/>
      <c r="BW51" s="212"/>
    </row>
    <row r="52" spans="1:82" ht="21" x14ac:dyDescent="0.15">
      <c r="A52" s="474">
        <f t="shared" si="5"/>
        <v>48</v>
      </c>
      <c r="B52" s="19" t="s">
        <v>293</v>
      </c>
      <c r="C52" s="19">
        <v>1</v>
      </c>
      <c r="D52" s="27">
        <v>0.9</v>
      </c>
      <c r="E52" s="24">
        <v>2.9000000000000001E-2</v>
      </c>
      <c r="F52" s="24">
        <v>2.9000000000000001E-2</v>
      </c>
      <c r="G52" s="24">
        <v>2.9000000000000001E-2</v>
      </c>
      <c r="H52" s="119">
        <v>0</v>
      </c>
      <c r="I52" s="74">
        <v>0</v>
      </c>
      <c r="J52" s="119">
        <v>0</v>
      </c>
      <c r="K52" s="74">
        <v>0</v>
      </c>
      <c r="L52" s="130">
        <v>4.2376484930889004E-2</v>
      </c>
      <c r="M52" s="74">
        <v>0</v>
      </c>
      <c r="O52" s="142">
        <f t="shared" si="18"/>
        <v>0</v>
      </c>
      <c r="P52" s="142">
        <f t="shared" si="19"/>
        <v>0</v>
      </c>
      <c r="Q52" s="142">
        <f t="shared" si="20"/>
        <v>-2.9000000000000001E-2</v>
      </c>
      <c r="R52" s="142">
        <f t="shared" si="21"/>
        <v>0</v>
      </c>
      <c r="S52" s="142">
        <f t="shared" si="22"/>
        <v>-2.9000000000000001E-2</v>
      </c>
      <c r="T52" s="142">
        <f t="shared" si="23"/>
        <v>-2.9000000000000001E-2</v>
      </c>
      <c r="V52" s="29">
        <f ca="1">SUMIF(Effektmåling!$D$53:$E$57,'DB materialer'!B52,Effektmåling!$H$53:$H$57)</f>
        <v>0</v>
      </c>
      <c r="W52" s="477" t="str">
        <f ca="1">IF((V52*D52)=0,"",IF(Effektmåling!$Q$241="Ja",1.3*(V52*D52),V52*D52))</f>
        <v/>
      </c>
      <c r="X52" s="29" t="str">
        <f ca="1">IF(W52="","",RANK(W52,$W$7:$W$56,0)+COUNTIF($W$7:W52,W52)-1)</f>
        <v/>
      </c>
      <c r="Y52" s="29" t="str">
        <f t="shared" ca="1" si="54"/>
        <v/>
      </c>
      <c r="AA52" s="29">
        <f ca="1">$C$122*SUMIF(Effektmåling!$D$128:$E$132,'DB materialer'!$B52,Effektmåling!$I$128:$I$132)</f>
        <v>0</v>
      </c>
      <c r="AB52" s="477" t="str">
        <f ca="1">IF((AA52*D52)=0,"",IF(Effektmåling!$Q$241="Ja",1.3*(AA52*D52),AA52*D52))</f>
        <v/>
      </c>
      <c r="AC52" s="29" t="str">
        <f ca="1">IF(AB52="","",RANK(AB52,$AB$7:$AB$56,0)+COUNTIF($AB$7:AB52,AB52)-1)</f>
        <v/>
      </c>
      <c r="AD52" s="29">
        <f t="shared" ca="1" si="51"/>
        <v>0</v>
      </c>
      <c r="AE52" s="29"/>
      <c r="AF52" s="29" t="str">
        <f>IF((SUMIFS(Effektmåling!$J$178:$J$182,Effektmåling!$D$178:$D$182,$B52,$AH$120:$AH$124,'DB materialer'!AF$3))&lt;&gt;0,(SUMIFS(Effektmåling!$J$178:$J$182,Effektmåling!$D$178:$D$182,$B52,$AH$120:$AH$124,'DB materialer'!AF$3))*-O52,"")</f>
        <v/>
      </c>
      <c r="AG52" s="29" t="str">
        <f>IF((SUMIFS(Effektmåling!$J$178:$J$182,Effektmåling!$D$178:$D$182,$B52,$AH$120:$AH$124,'DB materialer'!AG$3))&lt;&gt;0,(SUMIFS(Effektmåling!$J$178:$J$182,Effektmåling!$D$178:$D$182,$B52,$AH$120:$AH$124,'DB materialer'!AG$3))*-P52,"")</f>
        <v/>
      </c>
      <c r="AH52" s="29" t="str">
        <f>IF((SUMIFS(Effektmåling!$J$178:$J$182,Effektmåling!$D$178:$D$182,$B52,$AH$120:$AH$124,'DB materialer'!AH$3))&lt;&gt;0,(SUMIFS(Effektmåling!$J$178:$J$182,Effektmåling!$D$178:$D$182,$B52,$AH$120:$AH$124,'DB materialer'!AH$3))*-Q52,"")</f>
        <v/>
      </c>
      <c r="AI52" s="29" t="str">
        <f>IF((SUMIFS(Effektmåling!$J$178:$J$182,Effektmåling!$D$178:$D$182,$B52,$AH$120:$AH$124,'DB materialer'!AI$3))&lt;&gt;0,(SUMIFS(Effektmåling!$J$178:$J$182,Effektmåling!$D$178:$D$182,$B52,$AH$120:$AH$124,'DB materialer'!AI$3))*-R52,"")</f>
        <v/>
      </c>
      <c r="AJ52" s="29" t="str">
        <f>IF((SUMIFS(Effektmåling!$J$178:$J$182,Effektmåling!$D$178:$D$182,$B52,$AH$120:$AH$124,'DB materialer'!AJ$3))&lt;&gt;0,(SUMIFS(Effektmåling!$J$178:$J$182,Effektmåling!$D$178:$D$182,$B52,$AH$120:$AH$124,'DB materialer'!AJ$3))*-S52,"")</f>
        <v/>
      </c>
      <c r="AK52" s="29" t="str">
        <f>IF((SUMIFS(Effektmåling!$J$178:$J$182,Effektmåling!$D$178:$D$182,$B52,$AH$120:$AH$124,'DB materialer'!AK$3))&lt;&gt;0,(SUMIFS(Effektmåling!$J$178:$J$182,Effektmåling!$D$178:$D$182,$B52,$AH$120:$AH$124,'DB materialer'!AK$3))*-T52,"")</f>
        <v/>
      </c>
      <c r="AM52" s="29" t="str">
        <f>IF((SUMIFS(Effektmåling!$J$163:$J$167,Effektmåling!$D$163:$D$167,$B52,$AO$120:$AO$124,'DB materialer'!AM$3))&lt;&gt;0,(SUMIFS(Effektmåling!$J$163:$J$167,Effektmåling!$D$163:$D$167,$B52,$AO$120:$AO$124,'DB materialer'!AM$3))*(-O52)*($C$122),"")</f>
        <v/>
      </c>
      <c r="AN52" s="29" t="str">
        <f>IF((SUMIFS(Effektmåling!$J$163:$J$167,Effektmåling!$D$163:$D$167,$B52,$AO$120:$AO$124,'DB materialer'!AN$3))&lt;&gt;0,(SUMIFS(Effektmåling!$J$163:$J$167,Effektmåling!$D$163:$D$167,$B52,$AO$120:$AO$124,'DB materialer'!AN$3))*(-P52)*($C$122),"")</f>
        <v/>
      </c>
      <c r="AO52" s="29" t="str">
        <f>IF((SUMIFS(Effektmåling!$J$163:$J$167,Effektmåling!$D$163:$D$167,$B52,$AO$120:$AO$124,'DB materialer'!AO$3))&lt;&gt;0,(SUMIFS(Effektmåling!$J$163:$J$167,Effektmåling!$D$163:$D$167,$B52,$AO$120:$AO$124,'DB materialer'!AO$3))*(-Q52)*($C$122),"")</f>
        <v/>
      </c>
      <c r="AP52" s="29" t="str">
        <f>IF((SUMIFS(Effektmåling!$J$163:$J$167,Effektmåling!$D$163:$D$167,$B52,$AO$120:$AO$124,'DB materialer'!AP$3))&lt;&gt;0,(SUMIFS(Effektmåling!$J$163:$J$167,Effektmåling!$D$163:$D$167,$B52,$AO$120:$AO$124,'DB materialer'!AP$3))*(-R52)*($C$122),"")</f>
        <v/>
      </c>
      <c r="AQ52" s="29" t="str">
        <f>IF((SUMIFS(Effektmåling!$J$163:$J$167,Effektmåling!$D$163:$D$167,$B52,$AO$120:$AO$124,'DB materialer'!AQ$3))&lt;&gt;0,(SUMIFS(Effektmåling!$J$163:$J$167,Effektmåling!$D$163:$D$167,$B52,$AO$120:$AO$124,'DB materialer'!AQ$3))*(-S52)*($C$122),"")</f>
        <v/>
      </c>
      <c r="AR52" s="29" t="str">
        <f>IF((SUMIFS(Effektmåling!$J$163:$J$167,Effektmåling!$D$163:$D$167,$B52,$AO$120:$AO$124,'DB materialer'!AR$3))&lt;&gt;0,(SUMIFS(Effektmåling!$J$163:$J$167,Effektmåling!$D$163:$D$167,$B52,$AO$120:$AO$124,'DB materialer'!AR$3))*(-T52)*($C$122),"")</f>
        <v/>
      </c>
      <c r="AT52" s="30">
        <f t="shared" si="55"/>
        <v>1.0000000000000001E-30</v>
      </c>
      <c r="AU52" s="40">
        <f t="shared" si="56"/>
        <v>4.2376484930889004E-2</v>
      </c>
      <c r="AV52" s="41">
        <f t="shared" si="57"/>
        <v>1.0000000000000001E-30</v>
      </c>
      <c r="AW52" s="40">
        <f t="shared" si="58"/>
        <v>4.2376484930889004E-2</v>
      </c>
      <c r="AX52" s="41">
        <f t="shared" si="59"/>
        <v>1.0000000000000001E-30</v>
      </c>
      <c r="AY52" s="41">
        <f t="shared" si="60"/>
        <v>-4.2376484930889004E-2</v>
      </c>
      <c r="BA52" s="29" t="str">
        <f>IF((SUMIFS(Effektmåling!$J$178:$J$182,Effektmåling!$D$178:$D$182,$B52,$AH$120:$AH$124,BA$3))&lt;&gt;0,(SUMIFS(Effektmåling!$J$178:$J$182,Effektmåling!$D$178:$D$182,$B52,$AH$120:$AH$124,BA$3))*-AT52,"")</f>
        <v/>
      </c>
      <c r="BB52" s="29" t="str">
        <f>IF((SUMIFS(Effektmåling!$J$178:$J$182,Effektmåling!$D$178:$D$182,$B52,$AH$120:$AH$124,BB$3))&lt;&gt;0,(SUMIFS(Effektmåling!$J$178:$J$182,Effektmåling!$D$178:$D$182,$B52,$AH$120:$AH$124,BB$3))*-AU52,"")</f>
        <v/>
      </c>
      <c r="BC52" s="29" t="str">
        <f>IF((SUMIFS(Effektmåling!$J$178:$J$182,Effektmåling!$D$178:$D$182,$B52,$AH$120:$AH$124,BC$3))&lt;&gt;0,(SUMIFS(Effektmåling!$J$178:$J$182,Effektmåling!$D$178:$D$182,$B52,$AH$120:$AH$124,BC$3))*-AV52,"")</f>
        <v/>
      </c>
      <c r="BD52" s="29" t="str">
        <f>IF((SUMIFS(Effektmåling!$J$178:$J$182,Effektmåling!$D$178:$D$182,$B52,$AH$120:$AH$124,BD$3))&lt;&gt;0,(SUMIFS(Effektmåling!$J$178:$J$182,Effektmåling!$D$178:$D$182,$B52,$AH$120:$AH$124,BD$3))*-AW52,"")</f>
        <v/>
      </c>
      <c r="BE52" s="29" t="str">
        <f>IF((SUMIFS(Effektmåling!$J$178:$J$182,Effektmåling!$D$178:$D$182,$B52,$AH$120:$AH$124,BE$3))&lt;&gt;0,(SUMIFS(Effektmåling!$J$178:$J$182,Effektmåling!$D$178:$D$182,$B52,$AH$120:$AH$124,BE$3))*-AX52,"")</f>
        <v/>
      </c>
      <c r="BF52" s="29" t="str">
        <f>IF((SUMIFS(Effektmåling!$J$178:$J$182,Effektmåling!$D$178:$D$182,$B52,$AH$120:$AH$124,BF$3))&lt;&gt;0,(SUMIFS(Effektmåling!$J$178:$J$182,Effektmåling!$D$178:$D$182,$B52,$AH$120:$AH$124,BF$3))*-AY52,"")</f>
        <v/>
      </c>
      <c r="BH52" s="29" t="str">
        <f>IF((SUMIFS(Effektmåling!$J$163:$J$167,Effektmåling!$D$163:$D$167,$B52,$AO$120:$AO$124,BH$3))&lt;&gt;0,(SUMIFS(Effektmåling!$J$163:$J$167,Effektmåling!$D$163:$D$167,$B52,$AO$120:$AO$124,BH$3))*-AT52,"")</f>
        <v/>
      </c>
      <c r="BI52" s="29" t="str">
        <f>IF((SUMIFS(Effektmåling!$J$163:$J$167,Effektmåling!$D$163:$D$167,$B52,$AO$120:$AO$124,BI$3))&lt;&gt;0,(SUMIFS(Effektmåling!$J$163:$J$167,Effektmåling!$D$163:$D$167,$B52,$AO$120:$AO$124,BI$3))*-AU52,"")</f>
        <v/>
      </c>
      <c r="BJ52" s="29" t="str">
        <f>IF((SUMIFS(Effektmåling!$J$163:$J$167,Effektmåling!$D$163:$D$167,$B52,$AO$120:$AO$124,BJ$3))&lt;&gt;0,(SUMIFS(Effektmåling!$J$163:$J$167,Effektmåling!$D$163:$D$167,$B52,$AO$120:$AO$124,BJ$3))*-AV52,"")</f>
        <v/>
      </c>
      <c r="BK52" s="29" t="str">
        <f>IF((SUMIFS(Effektmåling!$J$163:$J$167,Effektmåling!$D$163:$D$167,$B52,$AO$120:$AO$124,BK$3))&lt;&gt;0,(SUMIFS(Effektmåling!$J$163:$J$167,Effektmåling!$D$163:$D$167,$B52,$AO$120:$AO$124,BK$3))*-AW52,"")</f>
        <v/>
      </c>
      <c r="BL52" s="29" t="str">
        <f>IF((SUMIFS(Effektmåling!$J$163:$J$167,Effektmåling!$D$163:$D$167,$B52,$AO$120:$AO$124,BL$3))&lt;&gt;0,(SUMIFS(Effektmåling!$J$163:$J$167,Effektmåling!$D$163:$D$167,$B52,$AO$120:$AO$124,BL$3))*-AX52,"")</f>
        <v/>
      </c>
      <c r="BM52" s="29" t="str">
        <f>IF((SUMIFS(Effektmåling!$J$163:$J$167,Effektmåling!$D$163:$D$167,$B52,$AO$120:$AO$124,BM$3))&lt;&gt;0,(SUMIFS(Effektmåling!$J$163:$J$167,Effektmåling!$D$163:$D$167,$B52,$AO$120:$AO$124,BM$3))*-AY52,"")</f>
        <v/>
      </c>
      <c r="BO52" s="211">
        <f t="shared" ca="1" si="24"/>
        <v>100000</v>
      </c>
      <c r="BP52" s="207" t="str">
        <f t="shared" si="52"/>
        <v>Drikkevarer</v>
      </c>
      <c r="BQ52" s="29">
        <f t="shared" ca="1" si="25"/>
        <v>0</v>
      </c>
      <c r="BR52" s="29">
        <f t="shared" ca="1" si="53"/>
        <v>100000</v>
      </c>
      <c r="BS52" s="29"/>
      <c r="BT52" s="29"/>
      <c r="BU52" s="29"/>
      <c r="BV52" s="29"/>
      <c r="BW52" s="212"/>
    </row>
    <row r="53" spans="1:82" s="49" customFormat="1" ht="31.5" x14ac:dyDescent="0.15">
      <c r="A53" s="474">
        <f t="shared" si="5"/>
        <v>49</v>
      </c>
      <c r="B53" s="148" t="s">
        <v>294</v>
      </c>
      <c r="C53" s="18" t="s">
        <v>245</v>
      </c>
      <c r="D53" s="18" t="s">
        <v>245</v>
      </c>
      <c r="E53" s="18" t="s">
        <v>245</v>
      </c>
      <c r="F53" s="18" t="s">
        <v>245</v>
      </c>
      <c r="G53" s="18" t="s">
        <v>245</v>
      </c>
      <c r="H53" s="18" t="s">
        <v>245</v>
      </c>
      <c r="I53" s="137" t="s">
        <v>245</v>
      </c>
      <c r="J53" s="18" t="s">
        <v>245</v>
      </c>
      <c r="K53" s="18" t="s">
        <v>245</v>
      </c>
      <c r="L53" s="18" t="s">
        <v>245</v>
      </c>
      <c r="M53" s="18" t="s">
        <v>245</v>
      </c>
      <c r="O53" s="168"/>
      <c r="P53" s="168"/>
      <c r="Q53" s="168"/>
      <c r="R53" s="168"/>
      <c r="S53" s="168"/>
      <c r="T53" s="168"/>
      <c r="V53" s="45"/>
      <c r="W53" s="477"/>
      <c r="X53" s="45"/>
      <c r="Y53" s="45"/>
      <c r="AA53" s="45"/>
      <c r="AB53" s="47"/>
      <c r="AC53" s="45"/>
      <c r="AD53" s="45"/>
      <c r="AE53" s="45"/>
      <c r="AF53" s="45"/>
      <c r="AG53" s="45"/>
      <c r="AH53" s="45"/>
      <c r="AI53" s="45"/>
      <c r="AJ53" s="45"/>
      <c r="AK53" s="45"/>
      <c r="AL53" s="48"/>
      <c r="AM53" s="45"/>
      <c r="AN53" s="45"/>
      <c r="AO53" s="45"/>
      <c r="AP53" s="45"/>
      <c r="AQ53" s="45"/>
      <c r="AR53" s="45"/>
      <c r="AS53" s="48"/>
      <c r="AT53" s="47"/>
      <c r="AU53" s="149"/>
      <c r="AV53" s="51"/>
      <c r="AW53" s="149"/>
      <c r="AX53" s="51"/>
      <c r="AY53" s="51"/>
      <c r="AZ53" s="48"/>
      <c r="BA53" s="45"/>
      <c r="BB53" s="45"/>
      <c r="BC53" s="45"/>
      <c r="BD53" s="45"/>
      <c r="BE53" s="45"/>
      <c r="BF53" s="45"/>
      <c r="BG53" s="48"/>
      <c r="BH53" s="45"/>
      <c r="BI53" s="45"/>
      <c r="BJ53" s="45"/>
      <c r="BK53" s="45"/>
      <c r="BL53" s="45"/>
      <c r="BM53" s="45"/>
      <c r="BN53" s="48"/>
      <c r="BO53" s="211">
        <f t="shared" si="24"/>
        <v>100000</v>
      </c>
      <c r="BP53" s="207" t="str">
        <f t="shared" si="52"/>
        <v>-EGNE MATERIALER-</v>
      </c>
      <c r="BQ53" s="29">
        <f t="shared" si="25"/>
        <v>0</v>
      </c>
      <c r="BR53" s="29">
        <f t="shared" si="53"/>
        <v>100000</v>
      </c>
      <c r="BS53" s="29"/>
      <c r="BT53" s="29"/>
      <c r="BU53" s="29"/>
      <c r="BV53" s="45"/>
      <c r="BW53" s="212"/>
      <c r="CD53" s="19"/>
    </row>
    <row r="54" spans="1:82" s="49" customFormat="1" ht="21" x14ac:dyDescent="0.15">
      <c r="A54" s="474">
        <f t="shared" si="5"/>
        <v>50</v>
      </c>
      <c r="B54" s="49" t="str">
        <f>Dropdowns!D52</f>
        <v>Materiale 1</v>
      </c>
      <c r="C54" s="49">
        <v>1</v>
      </c>
      <c r="D54" s="49">
        <f>'Egne Materialer'!H14</f>
        <v>0</v>
      </c>
      <c r="E54" s="49">
        <f>'Egne Materialer'!I14</f>
        <v>0</v>
      </c>
      <c r="F54" s="49">
        <f>'Egne Materialer'!J14</f>
        <v>0</v>
      </c>
      <c r="G54" s="49">
        <f>'Egne Materialer'!K14</f>
        <v>0</v>
      </c>
      <c r="H54" s="49">
        <f>'Egne Materialer'!L14</f>
        <v>0</v>
      </c>
      <c r="I54" s="132">
        <f>'Egne Materialer'!M14</f>
        <v>0</v>
      </c>
      <c r="J54" s="49">
        <f>'Egne Materialer'!N14</f>
        <v>0</v>
      </c>
      <c r="K54" s="49">
        <f>'Egne Materialer'!O14</f>
        <v>0</v>
      </c>
      <c r="L54" s="49">
        <f>'Egne Materialer'!P14</f>
        <v>0</v>
      </c>
      <c r="M54" s="49">
        <f>'Egne Materialer'!Q14</f>
        <v>0</v>
      </c>
      <c r="O54" s="142">
        <f>F54-E54</f>
        <v>0</v>
      </c>
      <c r="P54" s="142">
        <f>G54-E54</f>
        <v>0</v>
      </c>
      <c r="Q54" s="142">
        <f>H54-E54</f>
        <v>0</v>
      </c>
      <c r="R54" s="142">
        <f>G54-F54</f>
        <v>0</v>
      </c>
      <c r="S54" s="142">
        <f>H54-F54</f>
        <v>0</v>
      </c>
      <c r="T54" s="142">
        <f>H54-G54</f>
        <v>0</v>
      </c>
      <c r="V54" s="29">
        <f ca="1">SUMIF(Effektmåling!$D$53:$E$57,'DB materialer'!B54,Effektmåling!$H$53:$H$57)</f>
        <v>0</v>
      </c>
      <c r="W54" s="477" t="str">
        <f ca="1">IF((V54*D54)=0,"",IF(Effektmåling!$Q$241="Ja",1.3*(V54*D54),V54*D54))</f>
        <v/>
      </c>
      <c r="X54" s="29" t="str">
        <f ca="1">IF(W54="","",RANK(W54,$W$7:$W$56,0)+COUNTIF($W$7:W54,W54)-1)</f>
        <v/>
      </c>
      <c r="Y54" s="29" t="str">
        <f ca="1">IF((V54*I54)=0,"",V54*I54)</f>
        <v/>
      </c>
      <c r="AA54" s="29">
        <f ca="1">$C$122*SUMIF(Effektmåling!$D$128:$E$132,'DB materialer'!$B54,Effektmåling!$I$128:$I$132)</f>
        <v>0</v>
      </c>
      <c r="AB54" s="30" t="str">
        <f ca="1">IF((AA54*D54)=0,"",IF(Effektmåling!$Q$241="Ja",1.3*(AA54*D54),AA54*D54))</f>
        <v/>
      </c>
      <c r="AC54" s="29" t="str">
        <f ca="1">IF(AB54="","",RANK(AB54,$AB$7:$AB$56,0)+COUNTIF($AB$7:AB54,AB54)-1)</f>
        <v/>
      </c>
      <c r="AD54" s="29">
        <f ca="1">IF((AA54*I54)=0,0,AA54*I54)</f>
        <v>0</v>
      </c>
      <c r="AE54" s="29"/>
      <c r="AF54" s="29" t="str">
        <f>IF((SUMIFS(Effektmåling!$J$178:$J$182,Effektmåling!$D$178:$D$182,$B54,$AH$120:$AH$124,'DB materialer'!AF$3))&lt;&gt;0,(SUMIFS(Effektmåling!$J$178:$J$182,Effektmåling!$D$178:$D$182,$B54,$AH$120:$AH$124,'DB materialer'!AF$3))*-O54,"")</f>
        <v/>
      </c>
      <c r="AG54" s="29" t="str">
        <f>IF((SUMIFS(Effektmåling!$J$178:$J$182,Effektmåling!$D$178:$D$182,$B54,$AH$120:$AH$124,'DB materialer'!AG$3))&lt;&gt;0,(SUMIFS(Effektmåling!$J$178:$J$182,Effektmåling!$D$178:$D$182,$B54,$AH$120:$AH$124,'DB materialer'!AG$3))*-P54,"")</f>
        <v/>
      </c>
      <c r="AH54" s="29" t="str">
        <f>IF((SUMIFS(Effektmåling!$J$178:$J$182,Effektmåling!$D$178:$D$182,$B54,$AH$120:$AH$124,'DB materialer'!AH$3))&lt;&gt;0,(SUMIFS(Effektmåling!$J$178:$J$182,Effektmåling!$D$178:$D$182,$B54,$AH$120:$AH$124,'DB materialer'!AH$3))*-Q54,"")</f>
        <v/>
      </c>
      <c r="AI54" s="29" t="str">
        <f>IF((SUMIFS(Effektmåling!$J$178:$J$182,Effektmåling!$D$178:$D$182,$B54,$AH$120:$AH$124,'DB materialer'!AI$3))&lt;&gt;0,(SUMIFS(Effektmåling!$J$178:$J$182,Effektmåling!$D$178:$D$182,$B54,$AH$120:$AH$124,'DB materialer'!AI$3))*-R54,"")</f>
        <v/>
      </c>
      <c r="AJ54" s="29" t="str">
        <f>IF((SUMIFS(Effektmåling!$J$178:$J$182,Effektmåling!$D$178:$D$182,$B54,$AH$120:$AH$124,'DB materialer'!AJ$3))&lt;&gt;0,(SUMIFS(Effektmåling!$J$178:$J$182,Effektmåling!$D$178:$D$182,$B54,$AH$120:$AH$124,'DB materialer'!AJ$3))*-S54,"")</f>
        <v/>
      </c>
      <c r="AK54" s="29" t="str">
        <f>IF((SUMIFS(Effektmåling!$J$178:$J$182,Effektmåling!$D$178:$D$182,$B54,$AH$120:$AH$124,'DB materialer'!AK$3))&lt;&gt;0,(SUMIFS(Effektmåling!$J$178:$J$182,Effektmåling!$D$178:$D$182,$B54,$AH$120:$AH$124,'DB materialer'!AK$3))*-T54,"")</f>
        <v/>
      </c>
      <c r="AL54" s="48"/>
      <c r="AM54" s="29" t="str">
        <f>IF((SUMIFS(Effektmåling!$J$163:$J$167,Effektmåling!$D$163:$D$167,$B54,$AO$120:$AO$124,'DB materialer'!AM$3))&lt;&gt;0,(SUMIFS(Effektmåling!$J$163:$J$167,Effektmåling!$D$163:$D$167,$B54,$AO$120:$AO$124,'DB materialer'!AM$3))*(-O54)*($C$122),"")</f>
        <v/>
      </c>
      <c r="AN54" s="29" t="str">
        <f>IF((SUMIFS(Effektmåling!$J$163:$J$167,Effektmåling!$D$163:$D$167,$B54,$AO$120:$AO$124,'DB materialer'!AN$3))&lt;&gt;0,(SUMIFS(Effektmåling!$J$163:$J$167,Effektmåling!$D$163:$D$167,$B54,$AO$120:$AO$124,'DB materialer'!AN$3))*(-P54)*($C$122),"")</f>
        <v/>
      </c>
      <c r="AO54" s="29" t="str">
        <f>IF((SUMIFS(Effektmåling!$J$163:$J$167,Effektmåling!$D$163:$D$167,$B54,$AO$120:$AO$124,'DB materialer'!AO$3))&lt;&gt;0,(SUMIFS(Effektmåling!$J$163:$J$167,Effektmåling!$D$163:$D$167,$B54,$AO$120:$AO$124,'DB materialer'!AO$3))*(-Q54)*($C$122),"")</f>
        <v/>
      </c>
      <c r="AP54" s="29" t="str">
        <f>IF((SUMIFS(Effektmåling!$J$163:$J$167,Effektmåling!$D$163:$D$167,$B54,$AO$120:$AO$124,'DB materialer'!AP$3))&lt;&gt;0,(SUMIFS(Effektmåling!$J$163:$J$167,Effektmåling!$D$163:$D$167,$B54,$AO$120:$AO$124,'DB materialer'!AP$3))*(-R54)*($C$122),"")</f>
        <v/>
      </c>
      <c r="AQ54" s="29" t="str">
        <f>IF((SUMIFS(Effektmåling!$J$163:$J$167,Effektmåling!$D$163:$D$167,$B54,$AO$120:$AO$124,'DB materialer'!AQ$3))&lt;&gt;0,(SUMIFS(Effektmåling!$J$163:$J$167,Effektmåling!$D$163:$D$167,$B54,$AO$120:$AO$124,'DB materialer'!AQ$3))*(-S54)*($C$122),"")</f>
        <v/>
      </c>
      <c r="AR54" s="29" t="str">
        <f>IF((SUMIFS(Effektmåling!$J$163:$J$167,Effektmåling!$D$163:$D$167,$B54,$AO$120:$AO$124,'DB materialer'!AR$3))&lt;&gt;0,(SUMIFS(Effektmåling!$J$163:$J$167,Effektmåling!$D$163:$D$167,$B54,$AO$120:$AO$124,'DB materialer'!AR$3))*(-T54)*($C$122),"")</f>
        <v/>
      </c>
      <c r="AS54" s="48"/>
      <c r="AT54" s="30">
        <f>IF((K54-J54)=0,1E-30,K54-J54)</f>
        <v>1.0000000000000001E-30</v>
      </c>
      <c r="AU54" s="40">
        <f>IF((L54-J54)=0,1E-30,L54-J54)</f>
        <v>1.0000000000000001E-30</v>
      </c>
      <c r="AV54" s="41">
        <f>IF((M54-J54)=0,1E-30,M54-J54)</f>
        <v>1.0000000000000001E-30</v>
      </c>
      <c r="AW54" s="40">
        <f>IF((L54-K54)=0,1E-30,L54-K54)</f>
        <v>1.0000000000000001E-30</v>
      </c>
      <c r="AX54" s="41">
        <f>IF((M54-K54)=0,1E-30,M54-K54)</f>
        <v>1.0000000000000001E-30</v>
      </c>
      <c r="AY54" s="41">
        <f>IF((M54-L54)=0,1E-30,M54-L54)</f>
        <v>1.0000000000000001E-30</v>
      </c>
      <c r="AZ54" s="48"/>
      <c r="BA54" s="29" t="str">
        <f>IF((SUMIFS(Effektmåling!$J$178:$J$182,Effektmåling!$D$178:$D$182,$B54,$AH$120:$AH$124,BA$3))&lt;&gt;0,(SUMIFS(Effektmåling!$J$178:$J$182,Effektmåling!$D$178:$D$182,$B54,$AH$120:$AH$124,BA$3))*-AT54,"")</f>
        <v/>
      </c>
      <c r="BB54" s="29" t="str">
        <f>IF((SUMIFS(Effektmåling!$J$178:$J$182,Effektmåling!$D$178:$D$182,$B54,$AH$120:$AH$124,BB$3))&lt;&gt;0,(SUMIFS(Effektmåling!$J$178:$J$182,Effektmåling!$D$178:$D$182,$B54,$AH$120:$AH$124,BB$3))*-AU54,"")</f>
        <v/>
      </c>
      <c r="BC54" s="29" t="str">
        <f>IF((SUMIFS(Effektmåling!$J$178:$J$182,Effektmåling!$D$178:$D$182,$B54,$AH$120:$AH$124,BC$3))&lt;&gt;0,(SUMIFS(Effektmåling!$J$178:$J$182,Effektmåling!$D$178:$D$182,$B54,$AH$120:$AH$124,BC$3))*-AV54,"")</f>
        <v/>
      </c>
      <c r="BD54" s="29" t="str">
        <f>IF((SUMIFS(Effektmåling!$J$178:$J$182,Effektmåling!$D$178:$D$182,$B54,$AH$120:$AH$124,BD$3))&lt;&gt;0,(SUMIFS(Effektmåling!$J$178:$J$182,Effektmåling!$D$178:$D$182,$B54,$AH$120:$AH$124,BD$3))*-AW54,"")</f>
        <v/>
      </c>
      <c r="BE54" s="29" t="str">
        <f>IF((SUMIFS(Effektmåling!$J$178:$J$182,Effektmåling!$D$178:$D$182,$B54,$AH$120:$AH$124,BE$3))&lt;&gt;0,(SUMIFS(Effektmåling!$J$178:$J$182,Effektmåling!$D$178:$D$182,$B54,$AH$120:$AH$124,BE$3))*-AX54,"")</f>
        <v/>
      </c>
      <c r="BF54" s="29" t="str">
        <f>IF((SUMIFS(Effektmåling!$J$178:$J$182,Effektmåling!$D$178:$D$182,$B54,$AH$120:$AH$124,BF$3))&lt;&gt;0,(SUMIFS(Effektmåling!$J$178:$J$182,Effektmåling!$D$178:$D$182,$B54,$AH$120:$AH$124,BF$3))*-AY54,"")</f>
        <v/>
      </c>
      <c r="BG54" s="48"/>
      <c r="BH54" s="29" t="str">
        <f>IF((SUMIFS(Effektmåling!$J$163:$J$167,Effektmåling!$D$163:$D$167,$B54,$AO$120:$AO$124,BH$3))&lt;&gt;0,(SUMIFS(Effektmåling!$J$163:$J$167,Effektmåling!$D$163:$D$167,$B54,$AO$120:$AO$124,BH$3))*-AT54,"")</f>
        <v/>
      </c>
      <c r="BI54" s="29" t="str">
        <f>IF((SUMIFS(Effektmåling!$J$163:$J$167,Effektmåling!$D$163:$D$167,$B54,$AO$120:$AO$124,BI$3))&lt;&gt;0,(SUMIFS(Effektmåling!$J$163:$J$167,Effektmåling!$D$163:$D$167,$B54,$AO$120:$AO$124,BI$3))*-AU54,"")</f>
        <v/>
      </c>
      <c r="BJ54" s="29" t="str">
        <f>IF((SUMIFS(Effektmåling!$J$163:$J$167,Effektmåling!$D$163:$D$167,$B54,$AO$120:$AO$124,BJ$3))&lt;&gt;0,(SUMIFS(Effektmåling!$J$163:$J$167,Effektmåling!$D$163:$D$167,$B54,$AO$120:$AO$124,BJ$3))*-AV54,"")</f>
        <v/>
      </c>
      <c r="BK54" s="29" t="str">
        <f>IF((SUMIFS(Effektmåling!$J$163:$J$167,Effektmåling!$D$163:$D$167,$B54,$AO$120:$AO$124,BK$3))&lt;&gt;0,(SUMIFS(Effektmåling!$J$163:$J$167,Effektmåling!$D$163:$D$167,$B54,$AO$120:$AO$124,BK$3))*-AW54,"")</f>
        <v/>
      </c>
      <c r="BL54" s="29" t="str">
        <f>IF((SUMIFS(Effektmåling!$J$163:$J$167,Effektmåling!$D$163:$D$167,$B54,$AO$120:$AO$124,BL$3))&lt;&gt;0,(SUMIFS(Effektmåling!$J$163:$J$167,Effektmåling!$D$163:$D$167,$B54,$AO$120:$AO$124,BL$3))*-AX54,"")</f>
        <v/>
      </c>
      <c r="BM54" s="29" t="str">
        <f>IF((SUMIFS(Effektmåling!$J$163:$J$167,Effektmåling!$D$163:$D$167,$B54,$AO$120:$AO$124,BM$3))&lt;&gt;0,(SUMIFS(Effektmåling!$J$163:$J$167,Effektmåling!$D$163:$D$167,$B54,$AO$120:$AO$124,BM$3))*-AY54,"")</f>
        <v/>
      </c>
      <c r="BN54" s="48"/>
      <c r="BO54" s="211">
        <f t="shared" ca="1" si="24"/>
        <v>100000</v>
      </c>
      <c r="BP54" s="207" t="str">
        <f t="shared" si="52"/>
        <v>Materiale 1</v>
      </c>
      <c r="BQ54" s="29">
        <f t="shared" ca="1" si="25"/>
        <v>0</v>
      </c>
      <c r="BR54" s="29">
        <f t="shared" ca="1" si="53"/>
        <v>100000</v>
      </c>
      <c r="BS54" s="29"/>
      <c r="BT54" s="29"/>
      <c r="BU54" s="29"/>
      <c r="BV54" s="29"/>
      <c r="BW54" s="212"/>
      <c r="CD54" s="19"/>
    </row>
    <row r="55" spans="1:82" s="49" customFormat="1" ht="21" x14ac:dyDescent="0.15">
      <c r="A55" s="474">
        <f t="shared" si="5"/>
        <v>51</v>
      </c>
      <c r="B55" s="49" t="str">
        <f>Dropdowns!D53</f>
        <v>Materiale 2</v>
      </c>
      <c r="C55" s="49">
        <v>1</v>
      </c>
      <c r="D55" s="49">
        <f>'Egne Materialer'!H29</f>
        <v>0</v>
      </c>
      <c r="E55" s="49">
        <f>'Egne Materialer'!I29</f>
        <v>0</v>
      </c>
      <c r="F55" s="49">
        <f>'Egne Materialer'!J29</f>
        <v>0</v>
      </c>
      <c r="G55" s="49">
        <f>'Egne Materialer'!K29</f>
        <v>0</v>
      </c>
      <c r="H55" s="49">
        <f>'Egne Materialer'!L29</f>
        <v>0</v>
      </c>
      <c r="I55" s="132">
        <f>'Egne Materialer'!M29</f>
        <v>0</v>
      </c>
      <c r="J55" s="49">
        <f>'Egne Materialer'!N29</f>
        <v>0</v>
      </c>
      <c r="K55" s="49">
        <f>'Egne Materialer'!O29</f>
        <v>0</v>
      </c>
      <c r="L55" s="49">
        <f>'Egne Materialer'!P29</f>
        <v>0</v>
      </c>
      <c r="M55" s="49">
        <f>'Egne Materialer'!Q29</f>
        <v>0</v>
      </c>
      <c r="O55" s="142">
        <f>F55-E55</f>
        <v>0</v>
      </c>
      <c r="P55" s="142">
        <f>G55-E55</f>
        <v>0</v>
      </c>
      <c r="Q55" s="142">
        <f>H55-E55</f>
        <v>0</v>
      </c>
      <c r="R55" s="142">
        <f>G55-F55</f>
        <v>0</v>
      </c>
      <c r="S55" s="142">
        <f>H55-F55</f>
        <v>0</v>
      </c>
      <c r="T55" s="142">
        <f>H55-G55</f>
        <v>0</v>
      </c>
      <c r="V55" s="29">
        <f ca="1">SUMIF(Effektmåling!$D$53:$E$57,'DB materialer'!B55,Effektmåling!$H$53:$H$57)</f>
        <v>0</v>
      </c>
      <c r="W55" s="477" t="str">
        <f ca="1">IF((V55*D55)=0,"",IF(Effektmåling!$Q$241="Ja",1.3*(V55*D55),V55*D55))</f>
        <v/>
      </c>
      <c r="X55" s="29" t="str">
        <f ca="1">IF(W55="","",RANK(W55,$W$7:$W$56,0)+COUNTIF($W$7:W55,W55)-1)</f>
        <v/>
      </c>
      <c r="Y55" s="29" t="str">
        <f ca="1">IF((V55*I55)=0,"",V55*I55)</f>
        <v/>
      </c>
      <c r="AA55" s="29">
        <f ca="1">$C$122*SUMIF(Effektmåling!$D$128:$E$132,'DB materialer'!$B55,Effektmåling!$I$128:$I$132)</f>
        <v>0</v>
      </c>
      <c r="AB55" s="477" t="str">
        <f ca="1">IF((AA55*D55)=0,"",IF(Effektmåling!$Q$241="Ja",1.3*(AA55*D55),AA55*D55))</f>
        <v/>
      </c>
      <c r="AC55" s="29" t="str">
        <f ca="1">IF(AB55="","",RANK(AB55,$AB$7:$AB$56,0)+COUNTIF($AB$7:AB55,AB55)-1)</f>
        <v/>
      </c>
      <c r="AD55" s="29">
        <f ca="1">IF((AA55*I55)=0,0,AA55*I55)</f>
        <v>0</v>
      </c>
      <c r="AE55" s="29"/>
      <c r="AF55" s="29" t="str">
        <f>IF((SUMIFS(Effektmåling!$J$178:$J$182,Effektmåling!$D$178:$D$182,$B55,$AH$120:$AH$124,'DB materialer'!AF$3))&lt;&gt;0,(SUMIFS(Effektmåling!$J$178:$J$182,Effektmåling!$D$178:$D$182,$B55,$AH$120:$AH$124,'DB materialer'!AF$3))*-O55,"")</f>
        <v/>
      </c>
      <c r="AG55" s="29" t="str">
        <f>IF((SUMIFS(Effektmåling!$J$178:$J$182,Effektmåling!$D$178:$D$182,$B55,$AH$120:$AH$124,'DB materialer'!AG$3))&lt;&gt;0,(SUMIFS(Effektmåling!$J$178:$J$182,Effektmåling!$D$178:$D$182,$B55,$AH$120:$AH$124,'DB materialer'!AG$3))*-P55,"")</f>
        <v/>
      </c>
      <c r="AH55" s="29" t="str">
        <f>IF((SUMIFS(Effektmåling!$J$178:$J$182,Effektmåling!$D$178:$D$182,$B55,$AH$120:$AH$124,'DB materialer'!AH$3))&lt;&gt;0,(SUMIFS(Effektmåling!$J$178:$J$182,Effektmåling!$D$178:$D$182,$B55,$AH$120:$AH$124,'DB materialer'!AH$3))*-Q55,"")</f>
        <v/>
      </c>
      <c r="AI55" s="29" t="str">
        <f>IF((SUMIFS(Effektmåling!$J$178:$J$182,Effektmåling!$D$178:$D$182,$B55,$AH$120:$AH$124,'DB materialer'!AI$3))&lt;&gt;0,(SUMIFS(Effektmåling!$J$178:$J$182,Effektmåling!$D$178:$D$182,$B55,$AH$120:$AH$124,'DB materialer'!AI$3))*-R55,"")</f>
        <v/>
      </c>
      <c r="AJ55" s="29" t="str">
        <f>IF((SUMIFS(Effektmåling!$J$178:$J$182,Effektmåling!$D$178:$D$182,$B55,$AH$120:$AH$124,'DB materialer'!AJ$3))&lt;&gt;0,(SUMIFS(Effektmåling!$J$178:$J$182,Effektmåling!$D$178:$D$182,$B55,$AH$120:$AH$124,'DB materialer'!AJ$3))*-S55,"")</f>
        <v/>
      </c>
      <c r="AK55" s="29" t="str">
        <f>IF((SUMIFS(Effektmåling!$J$178:$J$182,Effektmåling!$D$178:$D$182,$B55,$AH$120:$AH$124,'DB materialer'!AK$3))&lt;&gt;0,(SUMIFS(Effektmåling!$J$178:$J$182,Effektmåling!$D$178:$D$182,$B55,$AH$120:$AH$124,'DB materialer'!AK$3))*-T55,"")</f>
        <v/>
      </c>
      <c r="AL55" s="48"/>
      <c r="AM55" s="29" t="str">
        <f>IF((SUMIFS(Effektmåling!$J$163:$J$167,Effektmåling!$D$163:$D$167,$B55,$AO$120:$AO$124,'DB materialer'!AM$3))&lt;&gt;0,(SUMIFS(Effektmåling!$J$163:$J$167,Effektmåling!$D$163:$D$167,$B55,$AO$120:$AO$124,'DB materialer'!AM$3))*(-O55)*($C$122),"")</f>
        <v/>
      </c>
      <c r="AN55" s="29" t="str">
        <f>IF((SUMIFS(Effektmåling!$J$163:$J$167,Effektmåling!$D$163:$D$167,$B55,$AO$120:$AO$124,'DB materialer'!AN$3))&lt;&gt;0,(SUMIFS(Effektmåling!$J$163:$J$167,Effektmåling!$D$163:$D$167,$B55,$AO$120:$AO$124,'DB materialer'!AN$3))*(-P55)*($C$122),"")</f>
        <v/>
      </c>
      <c r="AO55" s="29" t="str">
        <f>IF((SUMIFS(Effektmåling!$J$163:$J$167,Effektmåling!$D$163:$D$167,$B55,$AO$120:$AO$124,'DB materialer'!AO$3))&lt;&gt;0,(SUMIFS(Effektmåling!$J$163:$J$167,Effektmåling!$D$163:$D$167,$B55,$AO$120:$AO$124,'DB materialer'!AO$3))*(-Q55)*($C$122),"")</f>
        <v/>
      </c>
      <c r="AP55" s="29" t="str">
        <f>IF((SUMIFS(Effektmåling!$J$163:$J$167,Effektmåling!$D$163:$D$167,$B55,$AO$120:$AO$124,'DB materialer'!AP$3))&lt;&gt;0,(SUMIFS(Effektmåling!$J$163:$J$167,Effektmåling!$D$163:$D$167,$B55,$AO$120:$AO$124,'DB materialer'!AP$3))*(-R55)*($C$122),"")</f>
        <v/>
      </c>
      <c r="AQ55" s="29" t="str">
        <f>IF((SUMIFS(Effektmåling!$J$163:$J$167,Effektmåling!$D$163:$D$167,$B55,$AO$120:$AO$124,'DB materialer'!AQ$3))&lt;&gt;0,(SUMIFS(Effektmåling!$J$163:$J$167,Effektmåling!$D$163:$D$167,$B55,$AO$120:$AO$124,'DB materialer'!AQ$3))*(-S55)*($C$122),"")</f>
        <v/>
      </c>
      <c r="AR55" s="29" t="str">
        <f>IF((SUMIFS(Effektmåling!$J$163:$J$167,Effektmåling!$D$163:$D$167,$B55,$AO$120:$AO$124,'DB materialer'!AR$3))&lt;&gt;0,(SUMIFS(Effektmåling!$J$163:$J$167,Effektmåling!$D$163:$D$167,$B55,$AO$120:$AO$124,'DB materialer'!AR$3))*(-T55)*($C$122),"")</f>
        <v/>
      </c>
      <c r="AS55" s="48"/>
      <c r="AT55" s="30">
        <f>IF((K55-J55)=0,1E-30,K55-J55)</f>
        <v>1.0000000000000001E-30</v>
      </c>
      <c r="AU55" s="40">
        <f>IF((L55-J55)=0,1E-30,L55-J55)</f>
        <v>1.0000000000000001E-30</v>
      </c>
      <c r="AV55" s="41">
        <f>IF((M55-J55)=0,1E-30,M55-J55)</f>
        <v>1.0000000000000001E-30</v>
      </c>
      <c r="AW55" s="40">
        <f>IF((L55-K55)=0,1E-30,L55-K55)</f>
        <v>1.0000000000000001E-30</v>
      </c>
      <c r="AX55" s="41">
        <f>IF((M55-K55)=0,1E-30,M55-K55)</f>
        <v>1.0000000000000001E-30</v>
      </c>
      <c r="AY55" s="41">
        <f>IF((M55-L55)=0,1E-30,M55-L55)</f>
        <v>1.0000000000000001E-30</v>
      </c>
      <c r="AZ55" s="48"/>
      <c r="BA55" s="29" t="str">
        <f>IF((SUMIFS(Effektmåling!$J$178:$J$182,Effektmåling!$D$178:$D$182,$B55,$AH$120:$AH$124,BA$3))&lt;&gt;0,(SUMIFS(Effektmåling!$J$178:$J$182,Effektmåling!$D$178:$D$182,$B55,$AH$120:$AH$124,BA$3))*-AT55,"")</f>
        <v/>
      </c>
      <c r="BB55" s="29" t="str">
        <f>IF((SUMIFS(Effektmåling!$J$178:$J$182,Effektmåling!$D$178:$D$182,$B55,$AH$120:$AH$124,BB$3))&lt;&gt;0,(SUMIFS(Effektmåling!$J$178:$J$182,Effektmåling!$D$178:$D$182,$B55,$AH$120:$AH$124,BB$3))*-AU55,"")</f>
        <v/>
      </c>
      <c r="BC55" s="29" t="str">
        <f>IF((SUMIFS(Effektmåling!$J$178:$J$182,Effektmåling!$D$178:$D$182,$B55,$AH$120:$AH$124,BC$3))&lt;&gt;0,(SUMIFS(Effektmåling!$J$178:$J$182,Effektmåling!$D$178:$D$182,$B55,$AH$120:$AH$124,BC$3))*-AV55,"")</f>
        <v/>
      </c>
      <c r="BD55" s="29" t="str">
        <f>IF((SUMIFS(Effektmåling!$J$178:$J$182,Effektmåling!$D$178:$D$182,$B55,$AH$120:$AH$124,BD$3))&lt;&gt;0,(SUMIFS(Effektmåling!$J$178:$J$182,Effektmåling!$D$178:$D$182,$B55,$AH$120:$AH$124,BD$3))*-AW55,"")</f>
        <v/>
      </c>
      <c r="BE55" s="29" t="str">
        <f>IF((SUMIFS(Effektmåling!$J$178:$J$182,Effektmåling!$D$178:$D$182,$B55,$AH$120:$AH$124,BE$3))&lt;&gt;0,(SUMIFS(Effektmåling!$J$178:$J$182,Effektmåling!$D$178:$D$182,$B55,$AH$120:$AH$124,BE$3))*-AX55,"")</f>
        <v/>
      </c>
      <c r="BF55" s="29" t="str">
        <f>IF((SUMIFS(Effektmåling!$J$178:$J$182,Effektmåling!$D$178:$D$182,$B55,$AH$120:$AH$124,BF$3))&lt;&gt;0,(SUMIFS(Effektmåling!$J$178:$J$182,Effektmåling!$D$178:$D$182,$B55,$AH$120:$AH$124,BF$3))*-AY55,"")</f>
        <v/>
      </c>
      <c r="BG55" s="48"/>
      <c r="BH55" s="29" t="str">
        <f>IF((SUMIFS(Effektmåling!$J$163:$J$167,Effektmåling!$D$163:$D$167,$B55,$AO$120:$AO$124,BH$3))&lt;&gt;0,(SUMIFS(Effektmåling!$J$163:$J$167,Effektmåling!$D$163:$D$167,$B55,$AO$120:$AO$124,BH$3))*-AT55,"")</f>
        <v/>
      </c>
      <c r="BI55" s="29" t="str">
        <f>IF((SUMIFS(Effektmåling!$J$163:$J$167,Effektmåling!$D$163:$D$167,$B55,$AO$120:$AO$124,BI$3))&lt;&gt;0,(SUMIFS(Effektmåling!$J$163:$J$167,Effektmåling!$D$163:$D$167,$B55,$AO$120:$AO$124,BI$3))*-AU55,"")</f>
        <v/>
      </c>
      <c r="BJ55" s="29" t="str">
        <f>IF((SUMIFS(Effektmåling!$J$163:$J$167,Effektmåling!$D$163:$D$167,$B55,$AO$120:$AO$124,BJ$3))&lt;&gt;0,(SUMIFS(Effektmåling!$J$163:$J$167,Effektmåling!$D$163:$D$167,$B55,$AO$120:$AO$124,BJ$3))*-AV55,"")</f>
        <v/>
      </c>
      <c r="BK55" s="29" t="str">
        <f>IF((SUMIFS(Effektmåling!$J$163:$J$167,Effektmåling!$D$163:$D$167,$B55,$AO$120:$AO$124,BK$3))&lt;&gt;0,(SUMIFS(Effektmåling!$J$163:$J$167,Effektmåling!$D$163:$D$167,$B55,$AO$120:$AO$124,BK$3))*-AW55,"")</f>
        <v/>
      </c>
      <c r="BL55" s="29" t="str">
        <f>IF((SUMIFS(Effektmåling!$J$163:$J$167,Effektmåling!$D$163:$D$167,$B55,$AO$120:$AO$124,BL$3))&lt;&gt;0,(SUMIFS(Effektmåling!$J$163:$J$167,Effektmåling!$D$163:$D$167,$B55,$AO$120:$AO$124,BL$3))*-AX55,"")</f>
        <v/>
      </c>
      <c r="BM55" s="29" t="str">
        <f>IF((SUMIFS(Effektmåling!$J$163:$J$167,Effektmåling!$D$163:$D$167,$B55,$AO$120:$AO$124,BM$3))&lt;&gt;0,(SUMIFS(Effektmåling!$J$163:$J$167,Effektmåling!$D$163:$D$167,$B55,$AO$120:$AO$124,BM$3))*-AY55,"")</f>
        <v/>
      </c>
      <c r="BN55" s="48"/>
      <c r="BO55" s="211">
        <f t="shared" ca="1" si="24"/>
        <v>100000</v>
      </c>
      <c r="BP55" s="207" t="str">
        <f t="shared" si="52"/>
        <v>Materiale 2</v>
      </c>
      <c r="BQ55" s="29">
        <f t="shared" ca="1" si="25"/>
        <v>0</v>
      </c>
      <c r="BR55" s="29">
        <f t="shared" ca="1" si="53"/>
        <v>100000</v>
      </c>
      <c r="BS55" s="29"/>
      <c r="BT55" s="29"/>
      <c r="BU55" s="29"/>
      <c r="BV55" s="29"/>
      <c r="BW55" s="212"/>
      <c r="CD55" s="19"/>
    </row>
    <row r="56" spans="1:82" s="49" customFormat="1" ht="21" x14ac:dyDescent="0.15">
      <c r="A56" s="474">
        <f t="shared" si="5"/>
        <v>52</v>
      </c>
      <c r="B56" s="49" t="str">
        <f>Dropdowns!D54</f>
        <v>Materiale 3</v>
      </c>
      <c r="C56" s="49">
        <v>1</v>
      </c>
      <c r="D56" s="49">
        <f>'Egne Materialer'!H44</f>
        <v>0</v>
      </c>
      <c r="E56" s="49">
        <f>'Egne Materialer'!I44</f>
        <v>0</v>
      </c>
      <c r="F56" s="49">
        <f>'Egne Materialer'!J44</f>
        <v>0</v>
      </c>
      <c r="G56" s="49">
        <f>'Egne Materialer'!K44</f>
        <v>0</v>
      </c>
      <c r="H56" s="49">
        <f>'Egne Materialer'!L44</f>
        <v>0</v>
      </c>
      <c r="I56" s="133">
        <f>'Egne Materialer'!M44</f>
        <v>0</v>
      </c>
      <c r="J56" s="49">
        <f>'Egne Materialer'!N44</f>
        <v>0</v>
      </c>
      <c r="K56" s="49">
        <f>'Egne Materialer'!O44</f>
        <v>0</v>
      </c>
      <c r="L56" s="49">
        <f>'Egne Materialer'!P44</f>
        <v>0</v>
      </c>
      <c r="M56" s="49">
        <f>'Egne Materialer'!Q44</f>
        <v>0</v>
      </c>
      <c r="O56" s="142">
        <f>F56-E56</f>
        <v>0</v>
      </c>
      <c r="P56" s="142">
        <f>G56-E56</f>
        <v>0</v>
      </c>
      <c r="Q56" s="142">
        <f>H56-E56</f>
        <v>0</v>
      </c>
      <c r="R56" s="142">
        <f>G56-F56</f>
        <v>0</v>
      </c>
      <c r="S56" s="142">
        <f>H56-F56</f>
        <v>0</v>
      </c>
      <c r="T56" s="142">
        <f>H56-G56</f>
        <v>0</v>
      </c>
      <c r="V56" s="29">
        <f ca="1">SUMIF(Effektmåling!$D$53:$E$57,'DB materialer'!B56,Effektmåling!$H$53:$H$57)</f>
        <v>0</v>
      </c>
      <c r="W56" s="477" t="str">
        <f ca="1">IF((V56*D56)=0,"",IF(Effektmåling!$Q$241="Ja",1.3*(V56*D56),V56*D56))</f>
        <v/>
      </c>
      <c r="X56" s="17" t="str">
        <f ca="1">IF(W56="","",RANK(W56,$W$7:$W$56,0)+COUNTIF($W$7:W56,W56)-1)</f>
        <v/>
      </c>
      <c r="Y56" s="17" t="str">
        <f ca="1">IF((V56*I56)=0,"",V56*I56)</f>
        <v/>
      </c>
      <c r="AA56" s="29">
        <f ca="1">$C$122*SUMIF(Effektmåling!$D$128:$E$132,'DB materialer'!$B56,Effektmåling!$I$128:$I$132)</f>
        <v>0</v>
      </c>
      <c r="AB56" s="477" t="str">
        <f ca="1">IF((AA56*D56)=0,"",IF(Effektmåling!$Q$241="Ja",1.3*(AA56*D56),AA56*D56))</f>
        <v/>
      </c>
      <c r="AC56" s="17" t="str">
        <f ca="1">IF(AB56="","",RANK(AB56,$AB$7:$AB$56,0)+COUNTIF($AB$7:AB56,AB56)-1)</f>
        <v/>
      </c>
      <c r="AD56" s="29">
        <f ca="1">IF((AA56*I56)=0,0,AA56*I56)</f>
        <v>0</v>
      </c>
      <c r="AE56" s="29"/>
      <c r="AF56" s="29" t="str">
        <f>IF((SUMIFS(Effektmåling!$J$178:$J$182,Effektmåling!$D$178:$D$182,$B56,$AH$120:$AH$124,'DB materialer'!AF$3))&lt;&gt;0,(SUMIFS(Effektmåling!$J$178:$J$182,Effektmåling!$D$178:$D$182,$B56,$AH$120:$AH$124,'DB materialer'!AF$3))*-O56,"")</f>
        <v/>
      </c>
      <c r="AG56" s="29" t="str">
        <f>IF((SUMIFS(Effektmåling!$J$178:$J$182,Effektmåling!$D$178:$D$182,$B56,$AH$120:$AH$124,'DB materialer'!AG$3))&lt;&gt;0,(SUMIFS(Effektmåling!$J$178:$J$182,Effektmåling!$D$178:$D$182,$B56,$AH$120:$AH$124,'DB materialer'!AG$3))*-P56,"")</f>
        <v/>
      </c>
      <c r="AH56" s="29" t="str">
        <f>IF((SUMIFS(Effektmåling!$J$178:$J$182,Effektmåling!$D$178:$D$182,$B56,$AH$120:$AH$124,'DB materialer'!AH$3))&lt;&gt;0,(SUMIFS(Effektmåling!$J$178:$J$182,Effektmåling!$D$178:$D$182,$B56,$AH$120:$AH$124,'DB materialer'!AH$3))*-Q56,"")</f>
        <v/>
      </c>
      <c r="AI56" s="29" t="str">
        <f>IF((SUMIFS(Effektmåling!$J$178:$J$182,Effektmåling!$D$178:$D$182,$B56,$AH$120:$AH$124,'DB materialer'!AI$3))&lt;&gt;0,(SUMIFS(Effektmåling!$J$178:$J$182,Effektmåling!$D$178:$D$182,$B56,$AH$120:$AH$124,'DB materialer'!AI$3))*-R56,"")</f>
        <v/>
      </c>
      <c r="AJ56" s="29" t="str">
        <f>IF((SUMIFS(Effektmåling!$J$178:$J$182,Effektmåling!$D$178:$D$182,$B56,$AH$120:$AH$124,'DB materialer'!AJ$3))&lt;&gt;0,(SUMIFS(Effektmåling!$J$178:$J$182,Effektmåling!$D$178:$D$182,$B56,$AH$120:$AH$124,'DB materialer'!AJ$3))*-S56,"")</f>
        <v/>
      </c>
      <c r="AK56" s="29" t="str">
        <f>IF((SUMIFS(Effektmåling!$J$178:$J$182,Effektmåling!$D$178:$D$182,$B56,$AH$120:$AH$124,'DB materialer'!AK$3))&lt;&gt;0,(SUMIFS(Effektmåling!$J$178:$J$182,Effektmåling!$D$178:$D$182,$B56,$AH$120:$AH$124,'DB materialer'!AK$3))*-T56,"")</f>
        <v/>
      </c>
      <c r="AM56" s="29" t="str">
        <f>IF((SUMIFS(Effektmåling!$J$163:$J$167,Effektmåling!$D$163:$D$167,$B56,$AO$120:$AO$124,'DB materialer'!AM$3))&lt;&gt;0,(SUMIFS(Effektmåling!$J$163:$J$167,Effektmåling!$D$163:$D$167,$B56,$AO$120:$AO$124,'DB materialer'!AM$3))*(-O56)*($C$122),"")</f>
        <v/>
      </c>
      <c r="AN56" s="29" t="str">
        <f>IF((SUMIFS(Effektmåling!$J$163:$J$167,Effektmåling!$D$163:$D$167,$B56,$AO$120:$AO$124,'DB materialer'!AN$3))&lt;&gt;0,(SUMIFS(Effektmåling!$J$163:$J$167,Effektmåling!$D$163:$D$167,$B56,$AO$120:$AO$124,'DB materialer'!AN$3))*(-P56)*($C$122),"")</f>
        <v/>
      </c>
      <c r="AO56" s="29" t="str">
        <f>IF((SUMIFS(Effektmåling!$J$163:$J$167,Effektmåling!$D$163:$D$167,$B56,$AO$120:$AO$124,'DB materialer'!AO$3))&lt;&gt;0,(SUMIFS(Effektmåling!$J$163:$J$167,Effektmåling!$D$163:$D$167,$B56,$AO$120:$AO$124,'DB materialer'!AO$3))*(-Q56)*($C$122),"")</f>
        <v/>
      </c>
      <c r="AP56" s="29" t="str">
        <f>IF((SUMIFS(Effektmåling!$J$163:$J$167,Effektmåling!$D$163:$D$167,$B56,$AO$120:$AO$124,'DB materialer'!AP$3))&lt;&gt;0,(SUMIFS(Effektmåling!$J$163:$J$167,Effektmåling!$D$163:$D$167,$B56,$AO$120:$AO$124,'DB materialer'!AP$3))*(-R56)*($C$122),"")</f>
        <v/>
      </c>
      <c r="AQ56" s="29" t="str">
        <f>IF((SUMIFS(Effektmåling!$J$163:$J$167,Effektmåling!$D$163:$D$167,$B56,$AO$120:$AO$124,'DB materialer'!AQ$3))&lt;&gt;0,(SUMIFS(Effektmåling!$J$163:$J$167,Effektmåling!$D$163:$D$167,$B56,$AO$120:$AO$124,'DB materialer'!AQ$3))*(-S56)*($C$122),"")</f>
        <v/>
      </c>
      <c r="AR56" s="29" t="str">
        <f>IF((SUMIFS(Effektmåling!$J$163:$J$167,Effektmåling!$D$163:$D$167,$B56,$AO$120:$AO$124,'DB materialer'!AR$3))&lt;&gt;0,(SUMIFS(Effektmåling!$J$163:$J$167,Effektmåling!$D$163:$D$167,$B56,$AO$120:$AO$124,'DB materialer'!AR$3))*(-T56)*($C$122),"")</f>
        <v/>
      </c>
      <c r="AT56" s="30">
        <f>IF((K56-J56)=0,1E-30,K56-J56)</f>
        <v>1.0000000000000001E-30</v>
      </c>
      <c r="AU56" s="40">
        <f>IF((L56-J56)=0,1E-30,L56-J56)</f>
        <v>1.0000000000000001E-30</v>
      </c>
      <c r="AV56" s="41">
        <f>IF((M56-J56)=0,1E-30,M56-J56)</f>
        <v>1.0000000000000001E-30</v>
      </c>
      <c r="AW56" s="40">
        <f>IF((L56-K56)=0,1E-30,L56-K56)</f>
        <v>1.0000000000000001E-30</v>
      </c>
      <c r="AX56" s="41">
        <f>IF((M56-K56)=0,1E-30,M56-K56)</f>
        <v>1.0000000000000001E-30</v>
      </c>
      <c r="AY56" s="41">
        <f>IF((M56-L56)=0,1E-30,M56-L56)</f>
        <v>1.0000000000000001E-30</v>
      </c>
      <c r="BA56" s="29" t="str">
        <f>IF((SUMIFS(Effektmåling!$J$178:$J$182,Effektmåling!$D$178:$D$182,$B56,$AH$120:$AH$124,BA$3))&lt;&gt;0,(SUMIFS(Effektmåling!$J$178:$J$182,Effektmåling!$D$178:$D$182,$B56,$AH$120:$AH$124,BA$3))*-AT56,"")</f>
        <v/>
      </c>
      <c r="BB56" s="29" t="str">
        <f>IF((SUMIFS(Effektmåling!$J$178:$J$182,Effektmåling!$D$178:$D$182,$B56,$AH$120:$AH$124,BB$3))&lt;&gt;0,(SUMIFS(Effektmåling!$J$178:$J$182,Effektmåling!$D$178:$D$182,$B56,$AH$120:$AH$124,BB$3))*-AU56,"")</f>
        <v/>
      </c>
      <c r="BC56" s="29" t="str">
        <f>IF((SUMIFS(Effektmåling!$J$178:$J$182,Effektmåling!$D$178:$D$182,$B56,$AH$120:$AH$124,BC$3))&lt;&gt;0,(SUMIFS(Effektmåling!$J$178:$J$182,Effektmåling!$D$178:$D$182,$B56,$AH$120:$AH$124,BC$3))*-AV56,"")</f>
        <v/>
      </c>
      <c r="BD56" s="29" t="str">
        <f>IF((SUMIFS(Effektmåling!$J$178:$J$182,Effektmåling!$D$178:$D$182,$B56,$AH$120:$AH$124,BD$3))&lt;&gt;0,(SUMIFS(Effektmåling!$J$178:$J$182,Effektmåling!$D$178:$D$182,$B56,$AH$120:$AH$124,BD$3))*-AW56,"")</f>
        <v/>
      </c>
      <c r="BE56" s="29" t="str">
        <f>IF((SUMIFS(Effektmåling!$J$178:$J$182,Effektmåling!$D$178:$D$182,$B56,$AH$120:$AH$124,BE$3))&lt;&gt;0,(SUMIFS(Effektmåling!$J$178:$J$182,Effektmåling!$D$178:$D$182,$B56,$AH$120:$AH$124,BE$3))*-AX56,"")</f>
        <v/>
      </c>
      <c r="BF56" s="29" t="str">
        <f>IF((SUMIFS(Effektmåling!$J$178:$J$182,Effektmåling!$D$178:$D$182,$B56,$AH$120:$AH$124,BF$3))&lt;&gt;0,(SUMIFS(Effektmåling!$J$178:$J$182,Effektmåling!$D$178:$D$182,$B56,$AH$120:$AH$124,BF$3))*-AY56,"")</f>
        <v/>
      </c>
      <c r="BH56" s="29" t="str">
        <f>IF((SUMIFS(Effektmåling!$J$163:$J$167,Effektmåling!$D$163:$D$167,$B56,$AO$120:$AO$124,BH$3))&lt;&gt;0,(SUMIFS(Effektmåling!$J$163:$J$167,Effektmåling!$D$163:$D$167,$B56,$AO$120:$AO$124,BH$3))*-AT56,"")</f>
        <v/>
      </c>
      <c r="BI56" s="29" t="str">
        <f>IF((SUMIFS(Effektmåling!$J$163:$J$167,Effektmåling!$D$163:$D$167,$B56,$AO$120:$AO$124,BI$3))&lt;&gt;0,(SUMIFS(Effektmåling!$J$163:$J$167,Effektmåling!$D$163:$D$167,$B56,$AO$120:$AO$124,BI$3))*-AU56,"")</f>
        <v/>
      </c>
      <c r="BJ56" s="29" t="str">
        <f>IF((SUMIFS(Effektmåling!$J$163:$J$167,Effektmåling!$D$163:$D$167,$B56,$AO$120:$AO$124,BJ$3))&lt;&gt;0,(SUMIFS(Effektmåling!$J$163:$J$167,Effektmåling!$D$163:$D$167,$B56,$AO$120:$AO$124,BJ$3))*-AV56,"")</f>
        <v/>
      </c>
      <c r="BK56" s="29" t="str">
        <f>IF((SUMIFS(Effektmåling!$J$163:$J$167,Effektmåling!$D$163:$D$167,$B56,$AO$120:$AO$124,BK$3))&lt;&gt;0,(SUMIFS(Effektmåling!$J$163:$J$167,Effektmåling!$D$163:$D$167,$B56,$AO$120:$AO$124,BK$3))*-AW56,"")</f>
        <v/>
      </c>
      <c r="BL56" s="29" t="str">
        <f>IF((SUMIFS(Effektmåling!$J$163:$J$167,Effektmåling!$D$163:$D$167,$B56,$AO$120:$AO$124,BL$3))&lt;&gt;0,(SUMIFS(Effektmåling!$J$163:$J$167,Effektmåling!$D$163:$D$167,$B56,$AO$120:$AO$124,BL$3))*-AX56,"")</f>
        <v/>
      </c>
      <c r="BM56" s="29" t="str">
        <f>IF((SUMIFS(Effektmåling!$J$163:$J$167,Effektmåling!$D$163:$D$167,$B56,$AO$120:$AO$124,BM$3))&lt;&gt;0,(SUMIFS(Effektmåling!$J$163:$J$167,Effektmåling!$D$163:$D$167,$B56,$AO$120:$AO$124,BM$3))*-AY56,"")</f>
        <v/>
      </c>
      <c r="BO56" s="217">
        <f t="shared" ca="1" si="24"/>
        <v>100000</v>
      </c>
      <c r="BP56" s="463" t="str">
        <f t="shared" si="52"/>
        <v>Materiale 3</v>
      </c>
      <c r="BQ56" s="29">
        <f t="shared" ca="1" si="25"/>
        <v>0</v>
      </c>
      <c r="BR56" s="29">
        <f t="shared" ca="1" si="53"/>
        <v>100000</v>
      </c>
      <c r="BS56" s="17"/>
      <c r="BT56" s="29"/>
      <c r="BU56" s="17"/>
      <c r="BV56" s="17"/>
      <c r="BW56" s="218"/>
      <c r="CD56" s="19"/>
    </row>
    <row r="57" spans="1:82" x14ac:dyDescent="0.15">
      <c r="A57" s="474">
        <f t="shared" si="5"/>
        <v>53</v>
      </c>
      <c r="B57" s="31" t="s">
        <v>295</v>
      </c>
      <c r="C57" s="31"/>
      <c r="D57" s="31"/>
      <c r="E57" s="31"/>
      <c r="F57" s="31"/>
      <c r="G57" s="31"/>
      <c r="H57" s="129"/>
      <c r="I57" s="128"/>
      <c r="J57" s="141"/>
      <c r="K57" s="141"/>
      <c r="L57" s="141"/>
      <c r="M57" s="141"/>
      <c r="O57" s="31"/>
      <c r="P57" s="31"/>
      <c r="Q57" s="31"/>
      <c r="R57" s="31"/>
      <c r="S57" s="31"/>
      <c r="T57" s="31"/>
      <c r="V57" s="31">
        <f ca="1">SUM(V7:V56)</f>
        <v>0</v>
      </c>
      <c r="W57" s="31">
        <f ca="1">SUM(W6:W56)</f>
        <v>0</v>
      </c>
      <c r="X57" s="17">
        <f ca="1">MAX(X7:X56)</f>
        <v>0</v>
      </c>
      <c r="Y57" s="17">
        <f ca="1">SUM(Y5:Y56)</f>
        <v>0</v>
      </c>
      <c r="AA57" s="31">
        <f ca="1">SUM(AA7:AA56)</f>
        <v>0</v>
      </c>
      <c r="AB57" s="33">
        <f ca="1">SUM(AB6:AB56)</f>
        <v>0</v>
      </c>
      <c r="AC57" s="17">
        <f ca="1">MAX(AC7:AC56)</f>
        <v>0</v>
      </c>
      <c r="AD57" s="31">
        <f ca="1">SUM(AD7:AD56)</f>
        <v>0</v>
      </c>
      <c r="AE57" s="29"/>
      <c r="AF57" s="17">
        <f t="shared" ref="AF57:AK57" si="61">SUM(AF7:AF52)</f>
        <v>0</v>
      </c>
      <c r="AG57" s="17">
        <f t="shared" si="61"/>
        <v>0</v>
      </c>
      <c r="AH57" s="17">
        <f t="shared" si="61"/>
        <v>0</v>
      </c>
      <c r="AI57" s="17">
        <f t="shared" si="61"/>
        <v>0</v>
      </c>
      <c r="AJ57" s="17">
        <f t="shared" si="61"/>
        <v>0</v>
      </c>
      <c r="AK57" s="17">
        <f t="shared" si="61"/>
        <v>0</v>
      </c>
      <c r="AM57" s="17">
        <f t="shared" ref="AM57:AR57" si="62">SUM(AM7:AM52)</f>
        <v>0</v>
      </c>
      <c r="AN57" s="17">
        <f t="shared" si="62"/>
        <v>0</v>
      </c>
      <c r="AO57" s="17">
        <f t="shared" si="62"/>
        <v>0</v>
      </c>
      <c r="AP57" s="17">
        <f t="shared" si="62"/>
        <v>0</v>
      </c>
      <c r="AQ57" s="17">
        <f t="shared" si="62"/>
        <v>0</v>
      </c>
      <c r="AR57" s="17">
        <f t="shared" si="62"/>
        <v>0</v>
      </c>
      <c r="AT57" s="31"/>
      <c r="AU57" s="31"/>
      <c r="AV57" s="31"/>
      <c r="AW57" s="31"/>
      <c r="AX57" s="31"/>
      <c r="AY57" s="31"/>
      <c r="BA57" s="31"/>
      <c r="BB57" s="31"/>
      <c r="BC57" s="31"/>
      <c r="BD57" s="31"/>
      <c r="BE57" s="31"/>
      <c r="BF57" s="31"/>
      <c r="BH57" s="31"/>
      <c r="BI57" s="31"/>
      <c r="BJ57" s="31"/>
      <c r="BK57" s="31"/>
      <c r="BL57" s="31"/>
      <c r="BM57" s="31"/>
      <c r="BO57" s="29">
        <f t="shared" ca="1" si="24"/>
        <v>50</v>
      </c>
      <c r="BP57" s="29"/>
      <c r="BQ57" s="29"/>
      <c r="BR57" s="29">
        <f ca="1">COUNT(BR6:BR56)</f>
        <v>50</v>
      </c>
      <c r="BS57" s="29"/>
      <c r="BT57" s="29"/>
      <c r="BU57" s="29"/>
      <c r="BV57" s="29"/>
      <c r="BW57" s="29"/>
    </row>
    <row r="58" spans="1:82" x14ac:dyDescent="0.15">
      <c r="AF58" s="17"/>
      <c r="AG58" s="17"/>
      <c r="AH58" s="17"/>
      <c r="AI58" s="17"/>
      <c r="AJ58" s="17" t="s">
        <v>296</v>
      </c>
      <c r="AK58" s="17">
        <f>SUM(AF57:AK57)</f>
        <v>0</v>
      </c>
      <c r="AM58" s="17"/>
      <c r="AN58" s="17"/>
      <c r="AO58" s="17"/>
      <c r="AP58" s="17"/>
      <c r="AQ58" s="17" t="s">
        <v>296</v>
      </c>
      <c r="AR58" s="17">
        <f>SUM(AM57:AR57)</f>
        <v>0</v>
      </c>
      <c r="BD58" s="70"/>
      <c r="BE58" s="70"/>
      <c r="BF58" s="29"/>
      <c r="BJ58" s="70"/>
      <c r="BK58" s="70"/>
      <c r="BL58" s="70"/>
    </row>
    <row r="59" spans="1:82" x14ac:dyDescent="0.15">
      <c r="BD59" s="29"/>
      <c r="BE59" s="29"/>
      <c r="BF59" s="29"/>
      <c r="BG59" s="29"/>
      <c r="BH59" s="29"/>
      <c r="BI59" s="29"/>
      <c r="BJ59" s="29"/>
      <c r="BK59" s="29"/>
      <c r="BL59" s="29"/>
      <c r="BM59" s="29"/>
    </row>
    <row r="60" spans="1:82" x14ac:dyDescent="0.15">
      <c r="B60" s="29"/>
      <c r="C60" s="102"/>
      <c r="D60" s="29"/>
      <c r="E60" s="29"/>
      <c r="F60" s="29"/>
      <c r="G60" s="29"/>
      <c r="H60" s="29"/>
      <c r="I60" s="29"/>
      <c r="J60" s="29"/>
      <c r="K60" s="29"/>
      <c r="L60" s="29"/>
      <c r="M60" s="29"/>
    </row>
    <row r="61" spans="1:82" x14ac:dyDescent="0.15">
      <c r="B61" s="59" t="s">
        <v>297</v>
      </c>
      <c r="C61" s="17"/>
      <c r="D61" s="17"/>
      <c r="E61" s="17"/>
      <c r="F61" s="17"/>
      <c r="G61" s="17"/>
      <c r="H61" s="17"/>
      <c r="I61" s="17"/>
      <c r="J61" s="17"/>
      <c r="K61" s="17"/>
      <c r="L61" s="17"/>
      <c r="M61" s="17"/>
      <c r="O61" s="17"/>
      <c r="P61" s="17"/>
      <c r="Q61" s="17"/>
      <c r="R61" s="17"/>
      <c r="S61" s="17"/>
      <c r="T61" s="17"/>
      <c r="AF61" s="17"/>
      <c r="AG61" s="17"/>
      <c r="AH61" s="17"/>
      <c r="AI61" s="17"/>
      <c r="AJ61" s="17"/>
      <c r="AK61" s="17"/>
      <c r="AM61" s="17"/>
      <c r="AN61" s="17"/>
      <c r="AO61" s="17"/>
      <c r="AP61" s="17"/>
      <c r="AQ61" s="17"/>
      <c r="AR61" s="17"/>
      <c r="AT61" s="17"/>
      <c r="AU61" s="17"/>
      <c r="AV61" s="17"/>
      <c r="AW61" s="17"/>
      <c r="AX61" s="17"/>
      <c r="AY61" s="17"/>
      <c r="BA61" s="17"/>
      <c r="BB61" s="17"/>
      <c r="BC61" s="17"/>
      <c r="BD61" s="17"/>
      <c r="BE61" s="17"/>
      <c r="BF61" s="17"/>
      <c r="BH61" s="17"/>
      <c r="BI61" s="17"/>
      <c r="BJ61" s="17"/>
      <c r="BK61" s="17"/>
      <c r="BL61" s="17"/>
      <c r="BM61" s="17"/>
    </row>
    <row r="62" spans="1:82" ht="31.5" customHeight="1" x14ac:dyDescent="0.15">
      <c r="B62" s="134" t="s">
        <v>24</v>
      </c>
      <c r="C62" s="465" t="s">
        <v>27</v>
      </c>
      <c r="D62" s="465" t="s">
        <v>208</v>
      </c>
      <c r="E62" s="465" t="s">
        <v>209</v>
      </c>
      <c r="F62" s="465" t="s">
        <v>210</v>
      </c>
      <c r="G62" s="465" t="s">
        <v>211</v>
      </c>
      <c r="H62" s="465" t="s">
        <v>212</v>
      </c>
      <c r="I62" s="121" t="s">
        <v>208</v>
      </c>
      <c r="J62" s="465" t="s">
        <v>209</v>
      </c>
      <c r="K62" s="465" t="s">
        <v>210</v>
      </c>
      <c r="L62" s="465" t="s">
        <v>211</v>
      </c>
      <c r="M62" s="465" t="s">
        <v>212</v>
      </c>
      <c r="O62" s="465" t="s">
        <v>219</v>
      </c>
      <c r="P62" s="465" t="s">
        <v>220</v>
      </c>
      <c r="Q62" s="465" t="s">
        <v>221</v>
      </c>
      <c r="R62" s="465" t="s">
        <v>222</v>
      </c>
      <c r="S62" s="465" t="s">
        <v>223</v>
      </c>
      <c r="T62" s="465" t="s">
        <v>224</v>
      </c>
      <c r="AF62" s="902" t="s">
        <v>227</v>
      </c>
      <c r="AG62" s="902"/>
      <c r="AH62" s="902"/>
      <c r="AI62" s="902"/>
      <c r="AJ62" s="902"/>
      <c r="AK62" s="902"/>
      <c r="AM62" s="902" t="s">
        <v>228</v>
      </c>
      <c r="AN62" s="902"/>
      <c r="AO62" s="902"/>
      <c r="AP62" s="902"/>
      <c r="AQ62" s="902"/>
      <c r="AR62" s="902"/>
      <c r="AT62" s="463" t="s">
        <v>219</v>
      </c>
      <c r="AU62" s="463" t="s">
        <v>220</v>
      </c>
      <c r="AV62" s="463" t="s">
        <v>221</v>
      </c>
      <c r="AW62" s="463" t="s">
        <v>222</v>
      </c>
      <c r="AX62" s="463" t="s">
        <v>223</v>
      </c>
      <c r="AY62" s="463" t="s">
        <v>224</v>
      </c>
      <c r="BA62" s="902" t="s">
        <v>227</v>
      </c>
      <c r="BB62" s="902"/>
      <c r="BC62" s="902"/>
      <c r="BD62" s="902"/>
      <c r="BE62" s="902"/>
      <c r="BF62" s="902"/>
      <c r="BH62" s="902" t="s">
        <v>229</v>
      </c>
      <c r="BI62" s="902"/>
      <c r="BJ62" s="902"/>
      <c r="BK62" s="902"/>
      <c r="BL62" s="902"/>
      <c r="BM62" s="902"/>
    </row>
    <row r="63" spans="1:82" ht="27" x14ac:dyDescent="0.15">
      <c r="B63" s="140" t="s">
        <v>298</v>
      </c>
      <c r="C63" s="465"/>
      <c r="D63" s="138" t="s">
        <v>299</v>
      </c>
      <c r="E63" s="138" t="s">
        <v>299</v>
      </c>
      <c r="F63" s="138" t="s">
        <v>300</v>
      </c>
      <c r="G63" s="138" t="s">
        <v>301</v>
      </c>
      <c r="H63" s="138" t="s">
        <v>301</v>
      </c>
      <c r="I63" s="139" t="s">
        <v>299</v>
      </c>
      <c r="J63" s="138" t="s">
        <v>299</v>
      </c>
      <c r="K63" s="138" t="s">
        <v>300</v>
      </c>
      <c r="L63" s="138" t="s">
        <v>301</v>
      </c>
      <c r="M63" s="138" t="s">
        <v>301</v>
      </c>
      <c r="O63" s="135">
        <v>6</v>
      </c>
      <c r="P63" s="135">
        <v>5</v>
      </c>
      <c r="Q63" s="135">
        <v>4</v>
      </c>
      <c r="R63" s="135">
        <v>3</v>
      </c>
      <c r="S63" s="135">
        <v>2</v>
      </c>
      <c r="T63" s="135">
        <v>1</v>
      </c>
      <c r="Y63" s="474"/>
      <c r="Z63" s="474"/>
      <c r="AF63" s="38">
        <f t="shared" ref="AF63:AK63" si="63">O63</f>
        <v>6</v>
      </c>
      <c r="AG63" s="38">
        <f t="shared" si="63"/>
        <v>5</v>
      </c>
      <c r="AH63" s="38">
        <f t="shared" si="63"/>
        <v>4</v>
      </c>
      <c r="AI63" s="38">
        <f t="shared" si="63"/>
        <v>3</v>
      </c>
      <c r="AJ63" s="38">
        <f t="shared" si="63"/>
        <v>2</v>
      </c>
      <c r="AK63" s="38">
        <f t="shared" si="63"/>
        <v>1</v>
      </c>
      <c r="AM63" s="38">
        <f t="shared" ref="AM63:AR63" si="64">O63</f>
        <v>6</v>
      </c>
      <c r="AN63" s="38">
        <f t="shared" si="64"/>
        <v>5</v>
      </c>
      <c r="AO63" s="38">
        <f t="shared" si="64"/>
        <v>4</v>
      </c>
      <c r="AP63" s="38">
        <f t="shared" si="64"/>
        <v>3</v>
      </c>
      <c r="AQ63" s="38">
        <f t="shared" si="64"/>
        <v>2</v>
      </c>
      <c r="AR63" s="38">
        <f t="shared" si="64"/>
        <v>1</v>
      </c>
      <c r="AT63" s="38">
        <v>6</v>
      </c>
      <c r="AU63" s="38">
        <v>5</v>
      </c>
      <c r="AV63" s="38">
        <v>4</v>
      </c>
      <c r="AW63" s="38">
        <v>3</v>
      </c>
      <c r="AX63" s="38">
        <v>2</v>
      </c>
      <c r="AY63" s="38">
        <v>1</v>
      </c>
      <c r="BA63" s="38">
        <f t="shared" ref="BA63:BF63" si="65">O63</f>
        <v>6</v>
      </c>
      <c r="BB63" s="38">
        <f t="shared" si="65"/>
        <v>5</v>
      </c>
      <c r="BC63" s="38">
        <f t="shared" si="65"/>
        <v>4</v>
      </c>
      <c r="BD63" s="38">
        <f t="shared" si="65"/>
        <v>3</v>
      </c>
      <c r="BE63" s="38">
        <f t="shared" si="65"/>
        <v>2</v>
      </c>
      <c r="BF63" s="38">
        <f t="shared" si="65"/>
        <v>1</v>
      </c>
      <c r="BH63" s="38">
        <f t="shared" ref="BH63:BM63" si="66">O63</f>
        <v>6</v>
      </c>
      <c r="BI63" s="38">
        <f t="shared" si="66"/>
        <v>5</v>
      </c>
      <c r="BJ63" s="38">
        <f t="shared" si="66"/>
        <v>4</v>
      </c>
      <c r="BK63" s="38">
        <f t="shared" si="66"/>
        <v>3</v>
      </c>
      <c r="BL63" s="38">
        <f t="shared" si="66"/>
        <v>2</v>
      </c>
      <c r="BM63" s="38">
        <f t="shared" si="66"/>
        <v>1</v>
      </c>
    </row>
    <row r="64" spans="1:82" ht="12" x14ac:dyDescent="0.2">
      <c r="B64" s="17"/>
      <c r="C64" s="28" t="s">
        <v>236</v>
      </c>
      <c r="D64" s="28" t="s">
        <v>237</v>
      </c>
      <c r="E64" s="28" t="s">
        <v>237</v>
      </c>
      <c r="F64" s="28" t="s">
        <v>237</v>
      </c>
      <c r="G64" s="28" t="s">
        <v>237</v>
      </c>
      <c r="H64" s="28" t="s">
        <v>237</v>
      </c>
      <c r="I64" s="122" t="s">
        <v>238</v>
      </c>
      <c r="J64" s="28" t="s">
        <v>238</v>
      </c>
      <c r="K64" s="28" t="s">
        <v>238</v>
      </c>
      <c r="L64" s="28" t="s">
        <v>238</v>
      </c>
      <c r="M64" s="28" t="s">
        <v>238</v>
      </c>
      <c r="O64" s="28" t="s">
        <v>239</v>
      </c>
      <c r="P64" s="28" t="s">
        <v>239</v>
      </c>
      <c r="Q64" s="28" t="s">
        <v>239</v>
      </c>
      <c r="R64" s="28" t="s">
        <v>239</v>
      </c>
      <c r="S64" s="28" t="s">
        <v>239</v>
      </c>
      <c r="T64" s="28" t="s">
        <v>239</v>
      </c>
      <c r="AF64" s="17" t="s">
        <v>241</v>
      </c>
      <c r="AG64" s="17"/>
      <c r="AH64" s="17"/>
      <c r="AI64" s="17"/>
      <c r="AJ64" s="17"/>
      <c r="AK64" s="17"/>
      <c r="AM64" s="17" t="s">
        <v>241</v>
      </c>
      <c r="AN64" s="17"/>
      <c r="AO64" s="17"/>
      <c r="AP64" s="17"/>
      <c r="AQ64" s="17"/>
      <c r="AR64" s="17"/>
      <c r="AT64" s="28" t="s">
        <v>238</v>
      </c>
      <c r="AU64" s="28" t="s">
        <v>238</v>
      </c>
      <c r="AV64" s="28" t="s">
        <v>238</v>
      </c>
      <c r="AW64" s="28" t="s">
        <v>238</v>
      </c>
      <c r="AX64" s="28" t="s">
        <v>238</v>
      </c>
      <c r="AY64" s="28" t="s">
        <v>238</v>
      </c>
      <c r="BA64" s="17" t="s">
        <v>243</v>
      </c>
      <c r="BB64" s="17"/>
      <c r="BC64" s="17"/>
      <c r="BD64" s="17"/>
      <c r="BE64" s="17"/>
      <c r="BF64" s="17"/>
      <c r="BH64" s="17" t="s">
        <v>243</v>
      </c>
      <c r="BI64" s="17"/>
      <c r="BJ64" s="17"/>
      <c r="BK64" s="17"/>
      <c r="BL64" s="17"/>
      <c r="BM64" s="17"/>
    </row>
    <row r="65" spans="1:65" x14ac:dyDescent="0.15">
      <c r="A65" s="19">
        <f>A64+1</f>
        <v>1</v>
      </c>
      <c r="B65" s="29" t="s">
        <v>244</v>
      </c>
      <c r="C65" s="32" t="s">
        <v>245</v>
      </c>
      <c r="D65" s="32" t="s">
        <v>245</v>
      </c>
      <c r="E65" s="32" t="s">
        <v>245</v>
      </c>
      <c r="F65" s="32" t="s">
        <v>245</v>
      </c>
      <c r="G65" s="32" t="s">
        <v>245</v>
      </c>
      <c r="H65" s="136" t="s">
        <v>245</v>
      </c>
      <c r="I65" s="123" t="s">
        <v>245</v>
      </c>
      <c r="J65" s="32" t="s">
        <v>245</v>
      </c>
      <c r="K65" s="32" t="s">
        <v>245</v>
      </c>
      <c r="L65" s="32" t="s">
        <v>245</v>
      </c>
      <c r="M65" s="465" t="s">
        <v>245</v>
      </c>
      <c r="O65" s="44"/>
      <c r="P65" s="44"/>
      <c r="Q65" s="44"/>
      <c r="R65" s="44"/>
      <c r="S65" s="44"/>
      <c r="T65" s="44"/>
      <c r="AF65" s="45"/>
      <c r="AG65" s="45"/>
      <c r="AH65" s="45"/>
      <c r="AI65" s="45"/>
      <c r="AJ65" s="45"/>
      <c r="AK65" s="45"/>
      <c r="AM65" s="45"/>
      <c r="AN65" s="45"/>
      <c r="AO65" s="45"/>
      <c r="AP65" s="45"/>
      <c r="AQ65" s="45"/>
      <c r="AR65" s="45"/>
      <c r="AT65" s="44" t="s">
        <v>245</v>
      </c>
      <c r="AU65" s="44" t="s">
        <v>245</v>
      </c>
      <c r="AV65" s="44" t="s">
        <v>245</v>
      </c>
      <c r="AW65" s="44" t="s">
        <v>245</v>
      </c>
      <c r="AX65" s="44" t="s">
        <v>245</v>
      </c>
      <c r="AY65" s="44" t="s">
        <v>245</v>
      </c>
      <c r="BA65" s="46"/>
      <c r="BB65" s="46"/>
      <c r="BC65" s="46"/>
      <c r="BD65" s="46"/>
      <c r="BE65" s="46"/>
      <c r="BF65" s="46"/>
      <c r="BH65" s="46"/>
      <c r="BI65" s="46"/>
      <c r="BJ65" s="46"/>
      <c r="BK65" s="46"/>
      <c r="BL65" s="46"/>
      <c r="BM65" s="46"/>
    </row>
    <row r="66" spans="1:65" x14ac:dyDescent="0.15">
      <c r="A66" s="19">
        <f>A65+1</f>
        <v>2</v>
      </c>
      <c r="B66" s="19" t="s">
        <v>248</v>
      </c>
      <c r="C66" s="32" t="s">
        <v>245</v>
      </c>
      <c r="D66" s="32" t="s">
        <v>245</v>
      </c>
      <c r="E66" s="32" t="s">
        <v>245</v>
      </c>
      <c r="F66" s="32" t="s">
        <v>245</v>
      </c>
      <c r="G66" s="32" t="s">
        <v>245</v>
      </c>
      <c r="H66" s="136" t="s">
        <v>245</v>
      </c>
      <c r="I66" s="123" t="s">
        <v>245</v>
      </c>
      <c r="J66" s="32" t="s">
        <v>245</v>
      </c>
      <c r="K66" s="32" t="s">
        <v>245</v>
      </c>
      <c r="L66" s="32" t="s">
        <v>245</v>
      </c>
      <c r="M66" s="465" t="s">
        <v>245</v>
      </c>
      <c r="O66" s="44"/>
      <c r="P66" s="44"/>
      <c r="Q66" s="44"/>
      <c r="R66" s="44"/>
      <c r="S66" s="44"/>
      <c r="T66" s="44"/>
      <c r="AF66" s="45"/>
      <c r="AG66" s="45"/>
      <c r="AH66" s="45"/>
      <c r="AI66" s="45"/>
      <c r="AJ66" s="45"/>
      <c r="AK66" s="45"/>
      <c r="AM66" s="45"/>
      <c r="AN66" s="45"/>
      <c r="AO66" s="45"/>
      <c r="AP66" s="45"/>
      <c r="AQ66" s="45"/>
      <c r="AR66" s="45"/>
      <c r="AT66" s="44" t="s">
        <v>245</v>
      </c>
      <c r="AU66" s="44" t="s">
        <v>245</v>
      </c>
      <c r="AV66" s="44" t="s">
        <v>245</v>
      </c>
      <c r="AW66" s="44" t="s">
        <v>245</v>
      </c>
      <c r="AX66" s="44" t="s">
        <v>245</v>
      </c>
      <c r="AY66" s="44" t="s">
        <v>245</v>
      </c>
      <c r="BA66" s="46"/>
      <c r="BB66" s="46"/>
      <c r="BC66" s="46"/>
      <c r="BD66" s="46"/>
      <c r="BE66" s="46"/>
      <c r="BF66" s="46"/>
      <c r="BH66" s="46"/>
      <c r="BI66" s="46"/>
      <c r="BJ66" s="46"/>
      <c r="BK66" s="46"/>
      <c r="BL66" s="46"/>
      <c r="BM66" s="46"/>
    </row>
    <row r="67" spans="1:65" x14ac:dyDescent="0.15">
      <c r="A67" s="19">
        <f>A66+1</f>
        <v>3</v>
      </c>
      <c r="B67" s="19" t="s">
        <v>249</v>
      </c>
      <c r="C67" s="19">
        <v>1</v>
      </c>
      <c r="D67" s="57">
        <v>0</v>
      </c>
      <c r="E67" s="57">
        <v>0</v>
      </c>
      <c r="F67" s="57">
        <v>0</v>
      </c>
      <c r="G67" s="22">
        <v>-11.56</v>
      </c>
      <c r="H67" s="22">
        <f t="shared" ref="H67:H74" si="67">-D7</f>
        <v>-13.1373</v>
      </c>
      <c r="I67" s="57">
        <v>0</v>
      </c>
      <c r="J67" s="57">
        <v>0</v>
      </c>
      <c r="K67" s="57">
        <v>0</v>
      </c>
      <c r="L67" s="89">
        <v>-13.423928440998214</v>
      </c>
      <c r="M67" s="89">
        <v>-15.25555147992438</v>
      </c>
      <c r="O67" s="40">
        <f t="shared" ref="O67:O74" si="68">F67-E67</f>
        <v>0</v>
      </c>
      <c r="P67" s="41">
        <f>(IF(Effektmåling!$Q$241="Ja",-0.3*'DB materialer'!D7+G67,G67))-E67</f>
        <v>-11.56</v>
      </c>
      <c r="Q67" s="41">
        <f>(IF(Effektmåling!$Q$241="Ja",1.3*H67,H67))-E67</f>
        <v>-13.1373</v>
      </c>
      <c r="R67" s="41">
        <f>(IF(Effektmåling!$Q$241="Ja",-0.3*'DB materialer'!D7+G67,G67))-F67</f>
        <v>-11.56</v>
      </c>
      <c r="S67" s="41">
        <f>(IF(Effektmåling!$Q$241="Ja",1.3*H67,H67))-F67</f>
        <v>-13.1373</v>
      </c>
      <c r="T67" s="41">
        <f>(IF(Effektmåling!$Q$241="Ja",1.3*H67,H67))-(IF(Effektmåling!$Q$241="Ja",-0.3*'DB materialer'!D7+G67,G67))</f>
        <v>-1.5772999999999993</v>
      </c>
      <c r="AE67" s="19">
        <v>1</v>
      </c>
      <c r="AF67" s="29" t="str">
        <f>IF((SUMIFS(Effektmåling!$J$178:$J$182,Effektmåling!$D$178:$D$182,$B67,$AH$120:$AH$124,'DB materialer'!AF$3))&lt;&gt;0,(SUMIFS(Effektmåling!$J$178:$J$182,Effektmåling!$D$178:$D$182,$B67,$AH$120:$AH$124,'DB materialer'!AF$3))*-O67,"")</f>
        <v/>
      </c>
      <c r="AG67" s="29" t="str">
        <f>IF((SUMIFS(Effektmåling!$J$178:$J$182,Effektmåling!$D$178:$D$182,$B67,$AH$120:$AH$124,'DB materialer'!AG$3))&lt;&gt;0,(SUMIFS(Effektmåling!$J$178:$J$182,Effektmåling!$D$178:$D$182,$B67,$AH$120:$AH$124,'DB materialer'!AG$3))*-P67,"")</f>
        <v/>
      </c>
      <c r="AH67" s="29" t="str">
        <f>IF((SUMIFS(Effektmåling!$J$178:$J$182,Effektmåling!$D$178:$D$182,$B67,$AH$120:$AH$124,'DB materialer'!AH$3))&lt;&gt;0,(SUMIFS(Effektmåling!$J$178:$J$182,Effektmåling!$D$178:$D$182,$B67,$AH$120:$AH$124,'DB materialer'!AH$3))*-Q67,"")</f>
        <v/>
      </c>
      <c r="AI67" s="29" t="str">
        <f>IF((SUMIFS(Effektmåling!$J$178:$J$182,Effektmåling!$D$178:$D$182,$B67,$AH$120:$AH$124,'DB materialer'!AI$3))&lt;&gt;0,(SUMIFS(Effektmåling!$J$178:$J$182,Effektmåling!$D$178:$D$182,$B67,$AH$120:$AH$124,'DB materialer'!AI$3))*-R67,"")</f>
        <v/>
      </c>
      <c r="AJ67" s="29" t="str">
        <f>IF((SUMIFS(Effektmåling!$J$178:$J$182,Effektmåling!$D$178:$D$182,$B67,$AH$120:$AH$124,'DB materialer'!AJ$3))&lt;&gt;0,(SUMIFS(Effektmåling!$J$178:$J$182,Effektmåling!$D$178:$D$182,$B67,$AH$120:$AH$124,'DB materialer'!AJ$3))*-S67,"")</f>
        <v/>
      </c>
      <c r="AK67" s="29" t="str">
        <f>IF((SUMIFS(Effektmåling!$J$178:$J$182,Effektmåling!$D$178:$D$182,$B67,$AH$120:$AH$124,'DB materialer'!AK$3))&lt;&gt;0,(SUMIFS(Effektmåling!$J$178:$J$182,Effektmåling!$D$178:$D$182,$B67,$AH$120:$AH$124,'DB materialer'!AK$3))*-T67,"")</f>
        <v/>
      </c>
      <c r="AM67" s="29" t="str">
        <f>IF((SUMIFS(Effektmåling!$J$163:$J$167,Effektmåling!$D$163:$D$167,$B67,$AO$120:$AO$124,'DB materialer'!AM$3))&lt;&gt;0,(SUMIFS(Effektmåling!$J$163:$J$167,Effektmåling!$D$163:$D$167,$B67,$AO$120:$AO$124,'DB materialer'!AM$3))*(-O67)*($C$122),"")</f>
        <v/>
      </c>
      <c r="AN67" s="29" t="str">
        <f>IF((SUMIFS(Effektmåling!$J$163:$J$167,Effektmåling!$D$163:$D$167,$B67,$AO$120:$AO$124,'DB materialer'!AN$3))&lt;&gt;0,(SUMIFS(Effektmåling!$J$163:$J$167,Effektmåling!$D$163:$D$167,$B67,$AO$120:$AO$124,'DB materialer'!AN$3))*(-P67)*($C$122),"")</f>
        <v/>
      </c>
      <c r="AO67" s="29" t="str">
        <f>IF((SUMIFS(Effektmåling!$J$163:$J$167,Effektmåling!$D$163:$D$167,$B67,$AO$120:$AO$124,'DB materialer'!AO$3))&lt;&gt;0,(SUMIFS(Effektmåling!$J$163:$J$167,Effektmåling!$D$163:$D$167,$B67,$AO$120:$AO$124,'DB materialer'!AO$3))*(-Q67)*($C$122),"")</f>
        <v/>
      </c>
      <c r="AP67" s="29" t="str">
        <f>IF((SUMIFS(Effektmåling!$J$163:$J$167,Effektmåling!$D$163:$D$167,$B67,$AO$120:$AO$124,'DB materialer'!AP$3))&lt;&gt;0,(SUMIFS(Effektmåling!$J$163:$J$167,Effektmåling!$D$163:$D$167,$B67,$AO$120:$AO$124,'DB materialer'!AP$3))*(-R67)*($C$122),"")</f>
        <v/>
      </c>
      <c r="AQ67" s="29" t="str">
        <f>IF((SUMIFS(Effektmåling!$J$163:$J$167,Effektmåling!$D$163:$D$167,$B67,$AO$120:$AO$124,'DB materialer'!AQ$3))&lt;&gt;0,(SUMIFS(Effektmåling!$J$163:$J$167,Effektmåling!$D$163:$D$167,$B67,$AO$120:$AO$124,'DB materialer'!AQ$3))*(-S67)*($C$122),"")</f>
        <v/>
      </c>
      <c r="AR67" s="29" t="str">
        <f>IF((SUMIFS(Effektmåling!$J$163:$J$167,Effektmåling!$D$163:$D$167,$B67,$AO$120:$AO$124,'DB materialer'!AR$3))&lt;&gt;0,(SUMIFS(Effektmåling!$J$163:$J$167,Effektmåling!$D$163:$D$167,$B67,$AO$120:$AO$124,'DB materialer'!AR$3))*(-T67)*($C$122),"")</f>
        <v/>
      </c>
      <c r="AT67" s="30">
        <f t="shared" ref="AT67:AT74" si="69">IF((K67-J67)=0,1E-30,K67-J67)</f>
        <v>1.0000000000000001E-30</v>
      </c>
      <c r="AU67" s="40">
        <f t="shared" ref="AU67:AU74" si="70">IF((L67-J67)=0,1E-30,L67-J67)</f>
        <v>-13.423928440998214</v>
      </c>
      <c r="AV67" s="41">
        <f t="shared" ref="AV67:AV74" si="71">IF((M67-J67)=0,1E-30,M67-J67)</f>
        <v>-15.25555147992438</v>
      </c>
      <c r="AW67" s="40">
        <f t="shared" ref="AW67:AW74" si="72">IF((L67-K67)=0,1E-30,L67-K67)</f>
        <v>-13.423928440998214</v>
      </c>
      <c r="AX67" s="41">
        <f t="shared" ref="AX67:AX74" si="73">IF((M67-K67)=0,1E-30,M67-K67)</f>
        <v>-15.25555147992438</v>
      </c>
      <c r="AY67" s="41">
        <f t="shared" ref="AY67:AY74" si="74">IF((M67-L67)=0,1E-30,M67-L67)</f>
        <v>-1.8316230389261658</v>
      </c>
      <c r="BA67" s="29" t="str">
        <f>IF((SUMIFS(Effektmåling!$J$178:$J$182,Effektmåling!$D$178:$D$182,$B67,$AH$120:$AH$124,BA$3))&lt;&gt;0,(SUMIFS(Effektmåling!$J$178:$J$182,Effektmåling!$D$178:$D$182,$B67,$AH$120:$AH$124,BA$3))*-AT67,"")</f>
        <v/>
      </c>
      <c r="BB67" s="29" t="str">
        <f>IF((SUMIFS(Effektmåling!$J$178:$J$182,Effektmåling!$D$178:$D$182,$B67,$AH$120:$AH$124,BB$3))&lt;&gt;0,(SUMIFS(Effektmåling!$J$178:$J$182,Effektmåling!$D$178:$D$182,$B67,$AH$120:$AH$124,BB$3))*-AU67,"")</f>
        <v/>
      </c>
      <c r="BC67" s="29" t="str">
        <f>IF((SUMIFS(Effektmåling!$J$178:$J$182,Effektmåling!$D$178:$D$182,$B67,$AH$120:$AH$124,BC$3))&lt;&gt;0,(SUMIFS(Effektmåling!$J$178:$J$182,Effektmåling!$D$178:$D$182,$B67,$AH$120:$AH$124,BC$3))*-AV67,"")</f>
        <v/>
      </c>
      <c r="BD67" s="29" t="str">
        <f>IF((SUMIFS(Effektmåling!$J$178:$J$182,Effektmåling!$D$178:$D$182,$B67,$AH$120:$AH$124,BD$3))&lt;&gt;0,(SUMIFS(Effektmåling!$J$178:$J$182,Effektmåling!$D$178:$D$182,$B67,$AH$120:$AH$124,BD$3))*-AW67,"")</f>
        <v/>
      </c>
      <c r="BE67" s="29" t="str">
        <f>IF((SUMIFS(Effektmåling!$J$178:$J$182,Effektmåling!$D$178:$D$182,$B67,$AH$120:$AH$124,BE$3))&lt;&gt;0,(SUMIFS(Effektmåling!$J$178:$J$182,Effektmåling!$D$178:$D$182,$B67,$AH$120:$AH$124,BE$3))*-AX67,"")</f>
        <v/>
      </c>
      <c r="BF67" s="29" t="str">
        <f>IF((SUMIFS(Effektmåling!$J$178:$J$182,Effektmåling!$D$178:$D$182,$B67,$AH$120:$AH$124,BF$3))&lt;&gt;0,(SUMIFS(Effektmåling!$J$178:$J$182,Effektmåling!$D$178:$D$182,$B67,$AH$120:$AH$124,BF$3))*-AY67,"")</f>
        <v/>
      </c>
      <c r="BH67" s="29" t="str">
        <f>IF((SUMIFS(Effektmåling!$J$163:$J$167,Effektmåling!$D$163:$D$167,$B67,$AO$120:$AO$124,BH$3))&lt;&gt;0,(SUMIFS(Effektmåling!$J$163:$J$167,Effektmåling!$D$163:$D$167,$B67,$AO$120:$AO$124,BH$3))*-AT67,"")</f>
        <v/>
      </c>
      <c r="BI67" s="29" t="str">
        <f>IF((SUMIFS(Effektmåling!$J$163:$J$167,Effektmåling!$D$163:$D$167,$B67,$AO$120:$AO$124,BI$3))&lt;&gt;0,(SUMIFS(Effektmåling!$J$163:$J$167,Effektmåling!$D$163:$D$167,$B67,$AO$120:$AO$124,BI$3))*-AU67,"")</f>
        <v/>
      </c>
      <c r="BJ67" s="29" t="str">
        <f>IF((SUMIFS(Effektmåling!$J$163:$J$167,Effektmåling!$D$163:$D$167,$B67,$AO$120:$AO$124,BJ$3))&lt;&gt;0,(SUMIFS(Effektmåling!$J$163:$J$167,Effektmåling!$D$163:$D$167,$B67,$AO$120:$AO$124,BJ$3))*-AV67,"")</f>
        <v/>
      </c>
      <c r="BK67" s="29" t="str">
        <f>IF((SUMIFS(Effektmåling!$J$163:$J$167,Effektmåling!$D$163:$D$167,$B67,$AO$120:$AO$124,BK$3))&lt;&gt;0,(SUMIFS(Effektmåling!$J$163:$J$167,Effektmåling!$D$163:$D$167,$B67,$AO$120:$AO$124,BK$3))*-AW67,"")</f>
        <v/>
      </c>
      <c r="BL67" s="29" t="str">
        <f>IF((SUMIFS(Effektmåling!$J$163:$J$167,Effektmåling!$D$163:$D$167,$B67,$AO$120:$AO$124,BL$3))&lt;&gt;0,(SUMIFS(Effektmåling!$J$163:$J$167,Effektmåling!$D$163:$D$167,$B67,$AO$120:$AO$124,BL$3))*-AX67,"")</f>
        <v/>
      </c>
      <c r="BM67" s="29" t="str">
        <f>IF((SUMIFS(Effektmåling!$J$163:$J$167,Effektmåling!$D$163:$D$167,$B67,$AO$120:$AO$124,BM$3))&lt;&gt;0,(SUMIFS(Effektmåling!$J$163:$J$167,Effektmåling!$D$163:$D$167,$B67,$AO$120:$AO$124,BM$3))*-AY67,"")</f>
        <v/>
      </c>
    </row>
    <row r="68" spans="1:65" x14ac:dyDescent="0.15">
      <c r="A68" s="19">
        <f t="shared" ref="A68:A116" si="75">A67+1</f>
        <v>4</v>
      </c>
      <c r="B68" s="19" t="s">
        <v>250</v>
      </c>
      <c r="C68" s="19">
        <v>1</v>
      </c>
      <c r="D68" s="57">
        <v>0</v>
      </c>
      <c r="E68" s="57">
        <v>0</v>
      </c>
      <c r="F68" s="57">
        <v>0</v>
      </c>
      <c r="G68" s="171">
        <v>-3.3432400000000002</v>
      </c>
      <c r="H68" s="100">
        <f t="shared" si="67"/>
        <v>-4.399</v>
      </c>
      <c r="I68" s="57">
        <v>0</v>
      </c>
      <c r="J68" s="57">
        <v>0</v>
      </c>
      <c r="K68" s="57">
        <v>0</v>
      </c>
      <c r="L68" s="90">
        <v>-6866.9813603039574</v>
      </c>
      <c r="M68" s="90">
        <v>-9035.5017898736278</v>
      </c>
      <c r="O68" s="40">
        <f t="shared" si="68"/>
        <v>0</v>
      </c>
      <c r="P68" s="480">
        <f>(IF(Effektmåling!$Q$241="Ja",-0.3*'DB materialer'!D8+G68,G68))-E68</f>
        <v>-3.3432400000000002</v>
      </c>
      <c r="Q68" s="480">
        <f>(IF(Effektmåling!$Q$241="Ja",1.3*H68,H68))-E68</f>
        <v>-4.399</v>
      </c>
      <c r="R68" s="480">
        <f>(IF(Effektmåling!$Q$241="Ja",-0.3*'DB materialer'!D8+G68,G68))-F68</f>
        <v>-3.3432400000000002</v>
      </c>
      <c r="S68" s="480">
        <f>(IF(Effektmåling!$Q$241="Ja",1.3*H68,H68))-F68</f>
        <v>-4.399</v>
      </c>
      <c r="T68" s="480">
        <f>(IF(Effektmåling!$Q$241="Ja",1.3*H68,H68))-(IF(Effektmåling!$Q$241="Ja",-0.3*'DB materialer'!D8+G68,G68))</f>
        <v>-1.0557599999999998</v>
      </c>
      <c r="AE68" s="19">
        <f>AE67+1</f>
        <v>2</v>
      </c>
      <c r="AF68" s="29" t="str">
        <f>IF((SUMIFS(Effektmåling!$J$178:$J$182,Effektmåling!$D$178:$D$182,$B68,$AH$120:$AH$124,'DB materialer'!AF$3))&lt;&gt;0,(SUMIFS(Effektmåling!$J$178:$J$182,Effektmåling!$D$178:$D$182,$B68,$AH$120:$AH$124,'DB materialer'!AF$3))*-O68,"")</f>
        <v/>
      </c>
      <c r="AG68" s="29" t="str">
        <f>IF((SUMIFS(Effektmåling!$J$178:$J$182,Effektmåling!$D$178:$D$182,$B68,$AH$120:$AH$124,'DB materialer'!AG$3))&lt;&gt;0,(SUMIFS(Effektmåling!$J$178:$J$182,Effektmåling!$D$178:$D$182,$B68,$AH$120:$AH$124,'DB materialer'!AG$3))*-P68,"")</f>
        <v/>
      </c>
      <c r="AH68" s="29" t="str">
        <f>IF((SUMIFS(Effektmåling!$J$178:$J$182,Effektmåling!$D$178:$D$182,$B68,$AH$120:$AH$124,'DB materialer'!AH$3))&lt;&gt;0,(SUMIFS(Effektmåling!$J$178:$J$182,Effektmåling!$D$178:$D$182,$B68,$AH$120:$AH$124,'DB materialer'!AH$3))*-Q68,"")</f>
        <v/>
      </c>
      <c r="AI68" s="29" t="str">
        <f>IF((SUMIFS(Effektmåling!$J$178:$J$182,Effektmåling!$D$178:$D$182,$B68,$AH$120:$AH$124,'DB materialer'!AI$3))&lt;&gt;0,(SUMIFS(Effektmåling!$J$178:$J$182,Effektmåling!$D$178:$D$182,$B68,$AH$120:$AH$124,'DB materialer'!AI$3))*-R68,"")</f>
        <v/>
      </c>
      <c r="AJ68" s="29" t="str">
        <f>IF((SUMIFS(Effektmåling!$J$178:$J$182,Effektmåling!$D$178:$D$182,$B68,$AH$120:$AH$124,'DB materialer'!AJ$3))&lt;&gt;0,(SUMIFS(Effektmåling!$J$178:$J$182,Effektmåling!$D$178:$D$182,$B68,$AH$120:$AH$124,'DB materialer'!AJ$3))*-S68,"")</f>
        <v/>
      </c>
      <c r="AK68" s="29" t="str">
        <f>IF((SUMIFS(Effektmåling!$J$178:$J$182,Effektmåling!$D$178:$D$182,$B68,$AH$120:$AH$124,'DB materialer'!AK$3))&lt;&gt;0,(SUMIFS(Effektmåling!$J$178:$J$182,Effektmåling!$D$178:$D$182,$B68,$AH$120:$AH$124,'DB materialer'!AK$3))*-T68,"")</f>
        <v/>
      </c>
      <c r="AM68" s="29" t="str">
        <f>IF((SUMIFS(Effektmåling!$J$163:$J$167,Effektmåling!$D$163:$D$167,$B68,$AO$120:$AO$124,'DB materialer'!AM$3))&lt;&gt;0,(SUMIFS(Effektmåling!$J$163:$J$167,Effektmåling!$D$163:$D$167,$B68,$AO$120:$AO$124,'DB materialer'!AM$3))*(-O68)*($C$122),"")</f>
        <v/>
      </c>
      <c r="AN68" s="29" t="str">
        <f>IF((SUMIFS(Effektmåling!$J$163:$J$167,Effektmåling!$D$163:$D$167,$B68,$AO$120:$AO$124,'DB materialer'!AN$3))&lt;&gt;0,(SUMIFS(Effektmåling!$J$163:$J$167,Effektmåling!$D$163:$D$167,$B68,$AO$120:$AO$124,'DB materialer'!AN$3))*(-P68)*($C$122),"")</f>
        <v/>
      </c>
      <c r="AO68" s="29" t="str">
        <f>IF((SUMIFS(Effektmåling!$J$163:$J$167,Effektmåling!$D$163:$D$167,$B68,$AO$120:$AO$124,'DB materialer'!AO$3))&lt;&gt;0,(SUMIFS(Effektmåling!$J$163:$J$167,Effektmåling!$D$163:$D$167,$B68,$AO$120:$AO$124,'DB materialer'!AO$3))*(-Q68)*($C$122),"")</f>
        <v/>
      </c>
      <c r="AP68" s="29" t="str">
        <f>IF((SUMIFS(Effektmåling!$J$163:$J$167,Effektmåling!$D$163:$D$167,$B68,$AO$120:$AO$124,'DB materialer'!AP$3))&lt;&gt;0,(SUMIFS(Effektmåling!$J$163:$J$167,Effektmåling!$D$163:$D$167,$B68,$AO$120:$AO$124,'DB materialer'!AP$3))*(-R68)*($C$122),"")</f>
        <v/>
      </c>
      <c r="AQ68" s="29" t="str">
        <f>IF((SUMIFS(Effektmåling!$J$163:$J$167,Effektmåling!$D$163:$D$167,$B68,$AO$120:$AO$124,'DB materialer'!AQ$3))&lt;&gt;0,(SUMIFS(Effektmåling!$J$163:$J$167,Effektmåling!$D$163:$D$167,$B68,$AO$120:$AO$124,'DB materialer'!AQ$3))*(-S68)*($C$122),"")</f>
        <v/>
      </c>
      <c r="AR68" s="29" t="str">
        <f>IF((SUMIFS(Effektmåling!$J$163:$J$167,Effektmåling!$D$163:$D$167,$B68,$AO$120:$AO$124,'DB materialer'!AR$3))&lt;&gt;0,(SUMIFS(Effektmåling!$J$163:$J$167,Effektmåling!$D$163:$D$167,$B68,$AO$120:$AO$124,'DB materialer'!AR$3))*(-T68)*($C$122),"")</f>
        <v/>
      </c>
      <c r="AT68" s="30">
        <f t="shared" si="69"/>
        <v>1.0000000000000001E-30</v>
      </c>
      <c r="AU68" s="40">
        <f t="shared" si="70"/>
        <v>-6866.9813603039574</v>
      </c>
      <c r="AV68" s="41">
        <f t="shared" si="71"/>
        <v>-9035.5017898736278</v>
      </c>
      <c r="AW68" s="40">
        <f t="shared" si="72"/>
        <v>-6866.9813603039574</v>
      </c>
      <c r="AX68" s="41">
        <f t="shared" si="73"/>
        <v>-9035.5017898736278</v>
      </c>
      <c r="AY68" s="41">
        <f t="shared" si="74"/>
        <v>-2168.5204295696703</v>
      </c>
      <c r="BA68" s="29" t="str">
        <f>IF((SUMIFS(Effektmåling!$J$178:$J$182,Effektmåling!$D$178:$D$182,$B68,$AH$120:$AH$124,BA$3))&lt;&gt;0,(SUMIFS(Effektmåling!$J$178:$J$182,Effektmåling!$D$178:$D$182,$B68,$AH$120:$AH$124,BA$3))*-AT68,"")</f>
        <v/>
      </c>
      <c r="BB68" s="29" t="str">
        <f>IF((SUMIFS(Effektmåling!$J$178:$J$182,Effektmåling!$D$178:$D$182,$B68,$AH$120:$AH$124,BB$3))&lt;&gt;0,(SUMIFS(Effektmåling!$J$178:$J$182,Effektmåling!$D$178:$D$182,$B68,$AH$120:$AH$124,BB$3))*-AU68,"")</f>
        <v/>
      </c>
      <c r="BC68" s="29" t="str">
        <f>IF((SUMIFS(Effektmåling!$J$178:$J$182,Effektmåling!$D$178:$D$182,$B68,$AH$120:$AH$124,BC$3))&lt;&gt;0,(SUMIFS(Effektmåling!$J$178:$J$182,Effektmåling!$D$178:$D$182,$B68,$AH$120:$AH$124,BC$3))*-AV68,"")</f>
        <v/>
      </c>
      <c r="BD68" s="29" t="str">
        <f>IF((SUMIFS(Effektmåling!$J$178:$J$182,Effektmåling!$D$178:$D$182,$B68,$AH$120:$AH$124,BD$3))&lt;&gt;0,(SUMIFS(Effektmåling!$J$178:$J$182,Effektmåling!$D$178:$D$182,$B68,$AH$120:$AH$124,BD$3))*-AW68,"")</f>
        <v/>
      </c>
      <c r="BE68" s="29" t="str">
        <f>IF((SUMIFS(Effektmåling!$J$178:$J$182,Effektmåling!$D$178:$D$182,$B68,$AH$120:$AH$124,BE$3))&lt;&gt;0,(SUMIFS(Effektmåling!$J$178:$J$182,Effektmåling!$D$178:$D$182,$B68,$AH$120:$AH$124,BE$3))*-AX68,"")</f>
        <v/>
      </c>
      <c r="BF68" s="29" t="str">
        <f>IF((SUMIFS(Effektmåling!$J$178:$J$182,Effektmåling!$D$178:$D$182,$B68,$AH$120:$AH$124,BF$3))&lt;&gt;0,(SUMIFS(Effektmåling!$J$178:$J$182,Effektmåling!$D$178:$D$182,$B68,$AH$120:$AH$124,BF$3))*-AY68,"")</f>
        <v/>
      </c>
      <c r="BH68" s="29" t="str">
        <f>IF((SUMIFS(Effektmåling!$J$163:$J$167,Effektmåling!$D$163:$D$167,$B68,$AO$120:$AO$124,BH$3))&lt;&gt;0,(SUMIFS(Effektmåling!$J$163:$J$167,Effektmåling!$D$163:$D$167,$B68,$AO$120:$AO$124,BH$3))*-AT68,"")</f>
        <v/>
      </c>
      <c r="BI68" s="29" t="str">
        <f>IF((SUMIFS(Effektmåling!$J$163:$J$167,Effektmåling!$D$163:$D$167,$B68,$AO$120:$AO$124,BI$3))&lt;&gt;0,(SUMIFS(Effektmåling!$J$163:$J$167,Effektmåling!$D$163:$D$167,$B68,$AO$120:$AO$124,BI$3))*-AU68,"")</f>
        <v/>
      </c>
      <c r="BJ68" s="29" t="str">
        <f>IF((SUMIFS(Effektmåling!$J$163:$J$167,Effektmåling!$D$163:$D$167,$B68,$AO$120:$AO$124,BJ$3))&lt;&gt;0,(SUMIFS(Effektmåling!$J$163:$J$167,Effektmåling!$D$163:$D$167,$B68,$AO$120:$AO$124,BJ$3))*-AV68,"")</f>
        <v/>
      </c>
      <c r="BK68" s="29" t="str">
        <f>IF((SUMIFS(Effektmåling!$J$163:$J$167,Effektmåling!$D$163:$D$167,$B68,$AO$120:$AO$124,BK$3))&lt;&gt;0,(SUMIFS(Effektmåling!$J$163:$J$167,Effektmåling!$D$163:$D$167,$B68,$AO$120:$AO$124,BK$3))*-AW68,"")</f>
        <v/>
      </c>
      <c r="BL68" s="29" t="str">
        <f>IF((SUMIFS(Effektmåling!$J$163:$J$167,Effektmåling!$D$163:$D$167,$B68,$AO$120:$AO$124,BL$3))&lt;&gt;0,(SUMIFS(Effektmåling!$J$163:$J$167,Effektmåling!$D$163:$D$167,$B68,$AO$120:$AO$124,BL$3))*-AX68,"")</f>
        <v/>
      </c>
      <c r="BM68" s="29" t="str">
        <f>IF((SUMIFS(Effektmåling!$J$163:$J$167,Effektmåling!$D$163:$D$167,$B68,$AO$120:$AO$124,BM$3))&lt;&gt;0,(SUMIFS(Effektmåling!$J$163:$J$167,Effektmåling!$D$163:$D$167,$B68,$AO$120:$AO$124,BM$3))*-AY68,"")</f>
        <v/>
      </c>
    </row>
    <row r="69" spans="1:65" x14ac:dyDescent="0.15">
      <c r="A69" s="19">
        <f t="shared" si="75"/>
        <v>5</v>
      </c>
      <c r="B69" s="19" t="s">
        <v>251</v>
      </c>
      <c r="C69" s="19">
        <v>1</v>
      </c>
      <c r="D69" s="57">
        <v>0</v>
      </c>
      <c r="E69" s="57">
        <v>0</v>
      </c>
      <c r="F69" s="57">
        <v>0</v>
      </c>
      <c r="G69" s="22">
        <v>-2.4</v>
      </c>
      <c r="H69" s="22">
        <f t="shared" si="67"/>
        <v>-4.7083000000000004</v>
      </c>
      <c r="I69" s="57">
        <v>0</v>
      </c>
      <c r="J69" s="57">
        <v>0</v>
      </c>
      <c r="K69" s="57">
        <v>0</v>
      </c>
      <c r="L69" s="90">
        <v>-768.64000525991912</v>
      </c>
      <c r="M69" s="90">
        <v>-1507.9115569855323</v>
      </c>
      <c r="O69" s="40">
        <f t="shared" si="68"/>
        <v>0</v>
      </c>
      <c r="P69" s="480">
        <f>(IF(Effektmåling!$Q$241="Ja",-0.3*'DB materialer'!D9+G69,G69))-E69</f>
        <v>-2.4</v>
      </c>
      <c r="Q69" s="480">
        <f>(IF(Effektmåling!$Q$241="Ja",1.3*H69,H69))-E69</f>
        <v>-4.7083000000000004</v>
      </c>
      <c r="R69" s="480">
        <f>(IF(Effektmåling!$Q$241="Ja",-0.3*'DB materialer'!D9+G69,G69))-F69</f>
        <v>-2.4</v>
      </c>
      <c r="S69" s="480">
        <f>(IF(Effektmåling!$Q$241="Ja",1.3*H69,H69))-F69</f>
        <v>-4.7083000000000004</v>
      </c>
      <c r="T69" s="480">
        <f>(IF(Effektmåling!$Q$241="Ja",1.3*H69,H69))-(IF(Effektmåling!$Q$241="Ja",-0.3*'DB materialer'!D9+G69,G69))</f>
        <v>-2.3083000000000005</v>
      </c>
      <c r="AE69" s="19">
        <f t="shared" ref="AE69:AE116" si="76">AE68+1</f>
        <v>3</v>
      </c>
      <c r="AF69" s="29" t="str">
        <f>IF((SUMIFS(Effektmåling!$J$178:$J$182,Effektmåling!$D$178:$D$182,$B69,$AH$120:$AH$124,'DB materialer'!AF$3))&lt;&gt;0,(SUMIFS(Effektmåling!$J$178:$J$182,Effektmåling!$D$178:$D$182,$B69,$AH$120:$AH$124,'DB materialer'!AF$3))*-O69,"")</f>
        <v/>
      </c>
      <c r="AG69" s="29" t="str">
        <f>IF((SUMIFS(Effektmåling!$J$178:$J$182,Effektmåling!$D$178:$D$182,$B69,$AH$120:$AH$124,'DB materialer'!AG$3))&lt;&gt;0,(SUMIFS(Effektmåling!$J$178:$J$182,Effektmåling!$D$178:$D$182,$B69,$AH$120:$AH$124,'DB materialer'!AG$3))*-P69,"")</f>
        <v/>
      </c>
      <c r="AH69" s="29" t="str">
        <f>IF((SUMIFS(Effektmåling!$J$178:$J$182,Effektmåling!$D$178:$D$182,$B69,$AH$120:$AH$124,'DB materialer'!AH$3))&lt;&gt;0,(SUMIFS(Effektmåling!$J$178:$J$182,Effektmåling!$D$178:$D$182,$B69,$AH$120:$AH$124,'DB materialer'!AH$3))*-Q69,"")</f>
        <v/>
      </c>
      <c r="AI69" s="29" t="str">
        <f>IF((SUMIFS(Effektmåling!$J$178:$J$182,Effektmåling!$D$178:$D$182,$B69,$AH$120:$AH$124,'DB materialer'!AI$3))&lt;&gt;0,(SUMIFS(Effektmåling!$J$178:$J$182,Effektmåling!$D$178:$D$182,$B69,$AH$120:$AH$124,'DB materialer'!AI$3))*-R69,"")</f>
        <v/>
      </c>
      <c r="AJ69" s="29" t="str">
        <f>IF((SUMIFS(Effektmåling!$J$178:$J$182,Effektmåling!$D$178:$D$182,$B69,$AH$120:$AH$124,'DB materialer'!AJ$3))&lt;&gt;0,(SUMIFS(Effektmåling!$J$178:$J$182,Effektmåling!$D$178:$D$182,$B69,$AH$120:$AH$124,'DB materialer'!AJ$3))*-S69,"")</f>
        <v/>
      </c>
      <c r="AK69" s="29" t="str">
        <f>IF((SUMIFS(Effektmåling!$J$178:$J$182,Effektmåling!$D$178:$D$182,$B69,$AH$120:$AH$124,'DB materialer'!AK$3))&lt;&gt;0,(SUMIFS(Effektmåling!$J$178:$J$182,Effektmåling!$D$178:$D$182,$B69,$AH$120:$AH$124,'DB materialer'!AK$3))*-T69,"")</f>
        <v/>
      </c>
      <c r="AM69" s="29" t="str">
        <f>IF((SUMIFS(Effektmåling!$J$163:$J$167,Effektmåling!$D$163:$D$167,$B69,$AO$120:$AO$124,'DB materialer'!AM$3))&lt;&gt;0,(SUMIFS(Effektmåling!$J$163:$J$167,Effektmåling!$D$163:$D$167,$B69,$AO$120:$AO$124,'DB materialer'!AM$3))*(-O69)*($C$122),"")</f>
        <v/>
      </c>
      <c r="AN69" s="29" t="str">
        <f>IF((SUMIFS(Effektmåling!$J$163:$J$167,Effektmåling!$D$163:$D$167,$B69,$AO$120:$AO$124,'DB materialer'!AN$3))&lt;&gt;0,(SUMIFS(Effektmåling!$J$163:$J$167,Effektmåling!$D$163:$D$167,$B69,$AO$120:$AO$124,'DB materialer'!AN$3))*(-P69)*($C$122),"")</f>
        <v/>
      </c>
      <c r="AO69" s="29" t="str">
        <f>IF((SUMIFS(Effektmåling!$J$163:$J$167,Effektmåling!$D$163:$D$167,$B69,$AO$120:$AO$124,'DB materialer'!AO$3))&lt;&gt;0,(SUMIFS(Effektmåling!$J$163:$J$167,Effektmåling!$D$163:$D$167,$B69,$AO$120:$AO$124,'DB materialer'!AO$3))*(-Q69)*($C$122),"")</f>
        <v/>
      </c>
      <c r="AP69" s="29" t="str">
        <f>IF((SUMIFS(Effektmåling!$J$163:$J$167,Effektmåling!$D$163:$D$167,$B69,$AO$120:$AO$124,'DB materialer'!AP$3))&lt;&gt;0,(SUMIFS(Effektmåling!$J$163:$J$167,Effektmåling!$D$163:$D$167,$B69,$AO$120:$AO$124,'DB materialer'!AP$3))*(-R69)*($C$122),"")</f>
        <v/>
      </c>
      <c r="AQ69" s="29" t="str">
        <f>IF((SUMIFS(Effektmåling!$J$163:$J$167,Effektmåling!$D$163:$D$167,$B69,$AO$120:$AO$124,'DB materialer'!AQ$3))&lt;&gt;0,(SUMIFS(Effektmåling!$J$163:$J$167,Effektmåling!$D$163:$D$167,$B69,$AO$120:$AO$124,'DB materialer'!AQ$3))*(-S69)*($C$122),"")</f>
        <v/>
      </c>
      <c r="AR69" s="29" t="str">
        <f>IF((SUMIFS(Effektmåling!$J$163:$J$167,Effektmåling!$D$163:$D$167,$B69,$AO$120:$AO$124,'DB materialer'!AR$3))&lt;&gt;0,(SUMIFS(Effektmåling!$J$163:$J$167,Effektmåling!$D$163:$D$167,$B69,$AO$120:$AO$124,'DB materialer'!AR$3))*(-T69)*($C$122),"")</f>
        <v/>
      </c>
      <c r="AT69" s="30">
        <f t="shared" si="69"/>
        <v>1.0000000000000001E-30</v>
      </c>
      <c r="AU69" s="40">
        <f t="shared" si="70"/>
        <v>-768.64000525991912</v>
      </c>
      <c r="AV69" s="41">
        <f t="shared" si="71"/>
        <v>-1507.9115569855323</v>
      </c>
      <c r="AW69" s="40">
        <f t="shared" si="72"/>
        <v>-768.64000525991912</v>
      </c>
      <c r="AX69" s="41">
        <f t="shared" si="73"/>
        <v>-1507.9115569855323</v>
      </c>
      <c r="AY69" s="41">
        <f t="shared" si="74"/>
        <v>-739.27155172561322</v>
      </c>
      <c r="BA69" s="29" t="str">
        <f>IF((SUMIFS(Effektmåling!$J$178:$J$182,Effektmåling!$D$178:$D$182,$B69,$AH$120:$AH$124,BA$3))&lt;&gt;0,(SUMIFS(Effektmåling!$J$178:$J$182,Effektmåling!$D$178:$D$182,$B69,$AH$120:$AH$124,BA$3))*-AT69,"")</f>
        <v/>
      </c>
      <c r="BB69" s="29" t="str">
        <f>IF((SUMIFS(Effektmåling!$J$178:$J$182,Effektmåling!$D$178:$D$182,$B69,$AH$120:$AH$124,BB$3))&lt;&gt;0,(SUMIFS(Effektmåling!$J$178:$J$182,Effektmåling!$D$178:$D$182,$B69,$AH$120:$AH$124,BB$3))*-AU69,"")</f>
        <v/>
      </c>
      <c r="BC69" s="29" t="str">
        <f>IF((SUMIFS(Effektmåling!$J$178:$J$182,Effektmåling!$D$178:$D$182,$B69,$AH$120:$AH$124,BC$3))&lt;&gt;0,(SUMIFS(Effektmåling!$J$178:$J$182,Effektmåling!$D$178:$D$182,$B69,$AH$120:$AH$124,BC$3))*-AV69,"")</f>
        <v/>
      </c>
      <c r="BD69" s="29" t="str">
        <f>IF((SUMIFS(Effektmåling!$J$178:$J$182,Effektmåling!$D$178:$D$182,$B69,$AH$120:$AH$124,BD$3))&lt;&gt;0,(SUMIFS(Effektmåling!$J$178:$J$182,Effektmåling!$D$178:$D$182,$B69,$AH$120:$AH$124,BD$3))*-AW69,"")</f>
        <v/>
      </c>
      <c r="BE69" s="29" t="str">
        <f>IF((SUMIFS(Effektmåling!$J$178:$J$182,Effektmåling!$D$178:$D$182,$B69,$AH$120:$AH$124,BE$3))&lt;&gt;0,(SUMIFS(Effektmåling!$J$178:$J$182,Effektmåling!$D$178:$D$182,$B69,$AH$120:$AH$124,BE$3))*-AX69,"")</f>
        <v/>
      </c>
      <c r="BF69" s="29" t="str">
        <f>IF((SUMIFS(Effektmåling!$J$178:$J$182,Effektmåling!$D$178:$D$182,$B69,$AH$120:$AH$124,BF$3))&lt;&gt;0,(SUMIFS(Effektmåling!$J$178:$J$182,Effektmåling!$D$178:$D$182,$B69,$AH$120:$AH$124,BF$3))*-AY69,"")</f>
        <v/>
      </c>
      <c r="BH69" s="29" t="str">
        <f>IF((SUMIFS(Effektmåling!$J$163:$J$167,Effektmåling!$D$163:$D$167,$B69,$AO$120:$AO$124,BH$3))&lt;&gt;0,(SUMIFS(Effektmåling!$J$163:$J$167,Effektmåling!$D$163:$D$167,$B69,$AO$120:$AO$124,BH$3))*-AT69,"")</f>
        <v/>
      </c>
      <c r="BI69" s="29" t="str">
        <f>IF((SUMIFS(Effektmåling!$J$163:$J$167,Effektmåling!$D$163:$D$167,$B69,$AO$120:$AO$124,BI$3))&lt;&gt;0,(SUMIFS(Effektmåling!$J$163:$J$167,Effektmåling!$D$163:$D$167,$B69,$AO$120:$AO$124,BI$3))*-AU69,"")</f>
        <v/>
      </c>
      <c r="BJ69" s="29" t="str">
        <f>IF((SUMIFS(Effektmåling!$J$163:$J$167,Effektmåling!$D$163:$D$167,$B69,$AO$120:$AO$124,BJ$3))&lt;&gt;0,(SUMIFS(Effektmåling!$J$163:$J$167,Effektmåling!$D$163:$D$167,$B69,$AO$120:$AO$124,BJ$3))*-AV69,"")</f>
        <v/>
      </c>
      <c r="BK69" s="29" t="str">
        <f>IF((SUMIFS(Effektmåling!$J$163:$J$167,Effektmåling!$D$163:$D$167,$B69,$AO$120:$AO$124,BK$3))&lt;&gt;0,(SUMIFS(Effektmåling!$J$163:$J$167,Effektmåling!$D$163:$D$167,$B69,$AO$120:$AO$124,BK$3))*-AW69,"")</f>
        <v/>
      </c>
      <c r="BL69" s="29" t="str">
        <f>IF((SUMIFS(Effektmåling!$J$163:$J$167,Effektmåling!$D$163:$D$167,$B69,$AO$120:$AO$124,BL$3))&lt;&gt;0,(SUMIFS(Effektmåling!$J$163:$J$167,Effektmåling!$D$163:$D$167,$B69,$AO$120:$AO$124,BL$3))*-AX69,"")</f>
        <v/>
      </c>
      <c r="BM69" s="29" t="str">
        <f>IF((SUMIFS(Effektmåling!$J$163:$J$167,Effektmåling!$D$163:$D$167,$B69,$AO$120:$AO$124,BM$3))&lt;&gt;0,(SUMIFS(Effektmåling!$J$163:$J$167,Effektmåling!$D$163:$D$167,$B69,$AO$120:$AO$124,BM$3))*-AY69,"")</f>
        <v/>
      </c>
    </row>
    <row r="70" spans="1:65" x14ac:dyDescent="0.15">
      <c r="A70" s="19">
        <f t="shared" si="75"/>
        <v>6</v>
      </c>
      <c r="B70" s="19" t="s">
        <v>252</v>
      </c>
      <c r="C70" s="19">
        <v>1</v>
      </c>
      <c r="D70" s="57">
        <v>0</v>
      </c>
      <c r="E70" s="57">
        <v>0</v>
      </c>
      <c r="F70" s="57">
        <v>0</v>
      </c>
      <c r="G70" s="171">
        <v>-9.4551600000000011</v>
      </c>
      <c r="H70" s="100">
        <f t="shared" si="67"/>
        <v>-12.441000000000001</v>
      </c>
      <c r="I70" s="57">
        <v>0</v>
      </c>
      <c r="J70" s="57">
        <v>0</v>
      </c>
      <c r="K70" s="57">
        <v>0</v>
      </c>
      <c r="L70" s="90">
        <v>-1912.8509667083638</v>
      </c>
      <c r="M70" s="90">
        <v>-2516.9091667215312</v>
      </c>
      <c r="O70" s="40">
        <f t="shared" si="68"/>
        <v>0</v>
      </c>
      <c r="P70" s="480">
        <f>(IF(Effektmåling!$Q$241="Ja",-0.3*'DB materialer'!D10+G70,G70))-E70</f>
        <v>-9.4551600000000011</v>
      </c>
      <c r="Q70" s="480">
        <f>(IF(Effektmåling!$Q$241="Ja",1.3*H70,H70))-E70</f>
        <v>-12.441000000000001</v>
      </c>
      <c r="R70" s="480">
        <f>(IF(Effektmåling!$Q$241="Ja",-0.3*'DB materialer'!D10+G70,G70))-F70</f>
        <v>-9.4551600000000011</v>
      </c>
      <c r="S70" s="480">
        <f>(IF(Effektmåling!$Q$241="Ja",1.3*H70,H70))-F70</f>
        <v>-12.441000000000001</v>
      </c>
      <c r="T70" s="480">
        <f>(IF(Effektmåling!$Q$241="Ja",1.3*H70,H70))-(IF(Effektmåling!$Q$241="Ja",-0.3*'DB materialer'!D10+G70,G70))</f>
        <v>-2.9858399999999996</v>
      </c>
      <c r="AE70" s="19">
        <f t="shared" si="76"/>
        <v>4</v>
      </c>
      <c r="AF70" s="29" t="str">
        <f>IF((SUMIFS(Effektmåling!$J$178:$J$182,Effektmåling!$D$178:$D$182,$B70,$AH$120:$AH$124,'DB materialer'!AF$3))&lt;&gt;0,(SUMIFS(Effektmåling!$J$178:$J$182,Effektmåling!$D$178:$D$182,$B70,$AH$120:$AH$124,'DB materialer'!AF$3))*-O70,"")</f>
        <v/>
      </c>
      <c r="AG70" s="29" t="str">
        <f>IF((SUMIFS(Effektmåling!$J$178:$J$182,Effektmåling!$D$178:$D$182,$B70,$AH$120:$AH$124,'DB materialer'!AG$3))&lt;&gt;0,(SUMIFS(Effektmåling!$J$178:$J$182,Effektmåling!$D$178:$D$182,$B70,$AH$120:$AH$124,'DB materialer'!AG$3))*-P70,"")</f>
        <v/>
      </c>
      <c r="AH70" s="29" t="str">
        <f>IF((SUMIFS(Effektmåling!$J$178:$J$182,Effektmåling!$D$178:$D$182,$B70,$AH$120:$AH$124,'DB materialer'!AH$3))&lt;&gt;0,(SUMIFS(Effektmåling!$J$178:$J$182,Effektmåling!$D$178:$D$182,$B70,$AH$120:$AH$124,'DB materialer'!AH$3))*-Q70,"")</f>
        <v/>
      </c>
      <c r="AI70" s="29" t="str">
        <f>IF((SUMIFS(Effektmåling!$J$178:$J$182,Effektmåling!$D$178:$D$182,$B70,$AH$120:$AH$124,'DB materialer'!AI$3))&lt;&gt;0,(SUMIFS(Effektmåling!$J$178:$J$182,Effektmåling!$D$178:$D$182,$B70,$AH$120:$AH$124,'DB materialer'!AI$3))*-R70,"")</f>
        <v/>
      </c>
      <c r="AJ70" s="29" t="str">
        <f>IF((SUMIFS(Effektmåling!$J$178:$J$182,Effektmåling!$D$178:$D$182,$B70,$AH$120:$AH$124,'DB materialer'!AJ$3))&lt;&gt;0,(SUMIFS(Effektmåling!$J$178:$J$182,Effektmåling!$D$178:$D$182,$B70,$AH$120:$AH$124,'DB materialer'!AJ$3))*-S70,"")</f>
        <v/>
      </c>
      <c r="AK70" s="29" t="str">
        <f>IF((SUMIFS(Effektmåling!$J$178:$J$182,Effektmåling!$D$178:$D$182,$B70,$AH$120:$AH$124,'DB materialer'!AK$3))&lt;&gt;0,(SUMIFS(Effektmåling!$J$178:$J$182,Effektmåling!$D$178:$D$182,$B70,$AH$120:$AH$124,'DB materialer'!AK$3))*-T70,"")</f>
        <v/>
      </c>
      <c r="AM70" s="29" t="str">
        <f>IF((SUMIFS(Effektmåling!$J$163:$J$167,Effektmåling!$D$163:$D$167,$B70,$AO$120:$AO$124,'DB materialer'!AM$3))&lt;&gt;0,(SUMIFS(Effektmåling!$J$163:$J$167,Effektmåling!$D$163:$D$167,$B70,$AO$120:$AO$124,'DB materialer'!AM$3))*(-O70)*($C$122),"")</f>
        <v/>
      </c>
      <c r="AN70" s="29" t="str">
        <f>IF((SUMIFS(Effektmåling!$J$163:$J$167,Effektmåling!$D$163:$D$167,$B70,$AO$120:$AO$124,'DB materialer'!AN$3))&lt;&gt;0,(SUMIFS(Effektmåling!$J$163:$J$167,Effektmåling!$D$163:$D$167,$B70,$AO$120:$AO$124,'DB materialer'!AN$3))*(-P70)*($C$122),"")</f>
        <v/>
      </c>
      <c r="AO70" s="29" t="str">
        <f>IF((SUMIFS(Effektmåling!$J$163:$J$167,Effektmåling!$D$163:$D$167,$B70,$AO$120:$AO$124,'DB materialer'!AO$3))&lt;&gt;0,(SUMIFS(Effektmåling!$J$163:$J$167,Effektmåling!$D$163:$D$167,$B70,$AO$120:$AO$124,'DB materialer'!AO$3))*(-Q70)*($C$122),"")</f>
        <v/>
      </c>
      <c r="AP70" s="29" t="str">
        <f>IF((SUMIFS(Effektmåling!$J$163:$J$167,Effektmåling!$D$163:$D$167,$B70,$AO$120:$AO$124,'DB materialer'!AP$3))&lt;&gt;0,(SUMIFS(Effektmåling!$J$163:$J$167,Effektmåling!$D$163:$D$167,$B70,$AO$120:$AO$124,'DB materialer'!AP$3))*(-R70)*($C$122),"")</f>
        <v/>
      </c>
      <c r="AQ70" s="29" t="str">
        <f>IF((SUMIFS(Effektmåling!$J$163:$J$167,Effektmåling!$D$163:$D$167,$B70,$AO$120:$AO$124,'DB materialer'!AQ$3))&lt;&gt;0,(SUMIFS(Effektmåling!$J$163:$J$167,Effektmåling!$D$163:$D$167,$B70,$AO$120:$AO$124,'DB materialer'!AQ$3))*(-S70)*($C$122),"")</f>
        <v/>
      </c>
      <c r="AR70" s="29" t="str">
        <f>IF((SUMIFS(Effektmåling!$J$163:$J$167,Effektmåling!$D$163:$D$167,$B70,$AO$120:$AO$124,'DB materialer'!AR$3))&lt;&gt;0,(SUMIFS(Effektmåling!$J$163:$J$167,Effektmåling!$D$163:$D$167,$B70,$AO$120:$AO$124,'DB materialer'!AR$3))*(-T70)*($C$122),"")</f>
        <v/>
      </c>
      <c r="AT70" s="30">
        <f t="shared" si="69"/>
        <v>1.0000000000000001E-30</v>
      </c>
      <c r="AU70" s="40">
        <f t="shared" si="70"/>
        <v>-1912.8509667083638</v>
      </c>
      <c r="AV70" s="41">
        <f t="shared" si="71"/>
        <v>-2516.9091667215312</v>
      </c>
      <c r="AW70" s="40">
        <f t="shared" si="72"/>
        <v>-1912.8509667083638</v>
      </c>
      <c r="AX70" s="41">
        <f t="shared" si="73"/>
        <v>-2516.9091667215312</v>
      </c>
      <c r="AY70" s="41">
        <f t="shared" si="74"/>
        <v>-604.05820001316738</v>
      </c>
      <c r="BA70" s="29" t="str">
        <f>IF((SUMIFS(Effektmåling!$J$178:$J$182,Effektmåling!$D$178:$D$182,$B70,$AH$120:$AH$124,BA$3))&lt;&gt;0,(SUMIFS(Effektmåling!$J$178:$J$182,Effektmåling!$D$178:$D$182,$B70,$AH$120:$AH$124,BA$3))*-AT70,"")</f>
        <v/>
      </c>
      <c r="BB70" s="29" t="str">
        <f>IF((SUMIFS(Effektmåling!$J$178:$J$182,Effektmåling!$D$178:$D$182,$B70,$AH$120:$AH$124,BB$3))&lt;&gt;0,(SUMIFS(Effektmåling!$J$178:$J$182,Effektmåling!$D$178:$D$182,$B70,$AH$120:$AH$124,BB$3))*-AU70,"")</f>
        <v/>
      </c>
      <c r="BC70" s="29" t="str">
        <f>IF((SUMIFS(Effektmåling!$J$178:$J$182,Effektmåling!$D$178:$D$182,$B70,$AH$120:$AH$124,BC$3))&lt;&gt;0,(SUMIFS(Effektmåling!$J$178:$J$182,Effektmåling!$D$178:$D$182,$B70,$AH$120:$AH$124,BC$3))*-AV70,"")</f>
        <v/>
      </c>
      <c r="BD70" s="29" t="str">
        <f>IF((SUMIFS(Effektmåling!$J$178:$J$182,Effektmåling!$D$178:$D$182,$B70,$AH$120:$AH$124,BD$3))&lt;&gt;0,(SUMIFS(Effektmåling!$J$178:$J$182,Effektmåling!$D$178:$D$182,$B70,$AH$120:$AH$124,BD$3))*-AW70,"")</f>
        <v/>
      </c>
      <c r="BE70" s="29" t="str">
        <f>IF((SUMIFS(Effektmåling!$J$178:$J$182,Effektmåling!$D$178:$D$182,$B70,$AH$120:$AH$124,BE$3))&lt;&gt;0,(SUMIFS(Effektmåling!$J$178:$J$182,Effektmåling!$D$178:$D$182,$B70,$AH$120:$AH$124,BE$3))*-AX70,"")</f>
        <v/>
      </c>
      <c r="BF70" s="29" t="str">
        <f>IF((SUMIFS(Effektmåling!$J$178:$J$182,Effektmåling!$D$178:$D$182,$B70,$AH$120:$AH$124,BF$3))&lt;&gt;0,(SUMIFS(Effektmåling!$J$178:$J$182,Effektmåling!$D$178:$D$182,$B70,$AH$120:$AH$124,BF$3))*-AY70,"")</f>
        <v/>
      </c>
      <c r="BH70" s="29" t="str">
        <f>IF((SUMIFS(Effektmåling!$J$163:$J$167,Effektmåling!$D$163:$D$167,$B70,$AO$120:$AO$124,BH$3))&lt;&gt;0,(SUMIFS(Effektmåling!$J$163:$J$167,Effektmåling!$D$163:$D$167,$B70,$AO$120:$AO$124,BH$3))*-AT70,"")</f>
        <v/>
      </c>
      <c r="BI70" s="29" t="str">
        <f>IF((SUMIFS(Effektmåling!$J$163:$J$167,Effektmåling!$D$163:$D$167,$B70,$AO$120:$AO$124,BI$3))&lt;&gt;0,(SUMIFS(Effektmåling!$J$163:$J$167,Effektmåling!$D$163:$D$167,$B70,$AO$120:$AO$124,BI$3))*-AU70,"")</f>
        <v/>
      </c>
      <c r="BJ70" s="29" t="str">
        <f>IF((SUMIFS(Effektmåling!$J$163:$J$167,Effektmåling!$D$163:$D$167,$B70,$AO$120:$AO$124,BJ$3))&lt;&gt;0,(SUMIFS(Effektmåling!$J$163:$J$167,Effektmåling!$D$163:$D$167,$B70,$AO$120:$AO$124,BJ$3))*-AV70,"")</f>
        <v/>
      </c>
      <c r="BK70" s="29" t="str">
        <f>IF((SUMIFS(Effektmåling!$J$163:$J$167,Effektmåling!$D$163:$D$167,$B70,$AO$120:$AO$124,BK$3))&lt;&gt;0,(SUMIFS(Effektmåling!$J$163:$J$167,Effektmåling!$D$163:$D$167,$B70,$AO$120:$AO$124,BK$3))*-AW70,"")</f>
        <v/>
      </c>
      <c r="BL70" s="29" t="str">
        <f>IF((SUMIFS(Effektmåling!$J$163:$J$167,Effektmåling!$D$163:$D$167,$B70,$AO$120:$AO$124,BL$3))&lt;&gt;0,(SUMIFS(Effektmåling!$J$163:$J$167,Effektmåling!$D$163:$D$167,$B70,$AO$120:$AO$124,BL$3))*-AX70,"")</f>
        <v/>
      </c>
      <c r="BM70" s="29" t="str">
        <f>IF((SUMIFS(Effektmåling!$J$163:$J$167,Effektmåling!$D$163:$D$167,$B70,$AO$120:$AO$124,BM$3))&lt;&gt;0,(SUMIFS(Effektmåling!$J$163:$J$167,Effektmåling!$D$163:$D$167,$B70,$AO$120:$AO$124,BM$3))*-AY70,"")</f>
        <v/>
      </c>
    </row>
    <row r="71" spans="1:65" x14ac:dyDescent="0.15">
      <c r="A71" s="19">
        <f t="shared" si="75"/>
        <v>7</v>
      </c>
      <c r="B71" s="19" t="s">
        <v>253</v>
      </c>
      <c r="C71" s="19">
        <v>1</v>
      </c>
      <c r="D71" s="57">
        <v>0</v>
      </c>
      <c r="E71" s="57">
        <v>0</v>
      </c>
      <c r="F71" s="57">
        <v>0</v>
      </c>
      <c r="G71" s="22">
        <v>-1.417</v>
      </c>
      <c r="H71" s="22">
        <f t="shared" si="67"/>
        <v>-1.5948</v>
      </c>
      <c r="I71" s="57">
        <v>0</v>
      </c>
      <c r="J71" s="57">
        <v>0</v>
      </c>
      <c r="K71" s="57">
        <v>0</v>
      </c>
      <c r="L71" s="88">
        <v>-0.88851266616503644</v>
      </c>
      <c r="M71" s="73">
        <v>-1</v>
      </c>
      <c r="O71" s="40">
        <f t="shared" si="68"/>
        <v>0</v>
      </c>
      <c r="P71" s="480">
        <f>(IF(Effektmåling!$Q$241="Ja",-0.3*'DB materialer'!D11+G71,G71))-E71</f>
        <v>-1.417</v>
      </c>
      <c r="Q71" s="480">
        <f>(IF(Effektmåling!$Q$241="Ja",1.3*H71,H71))-E71</f>
        <v>-1.5948</v>
      </c>
      <c r="R71" s="480">
        <f>(IF(Effektmåling!$Q$241="Ja",-0.3*'DB materialer'!D11+G71,G71))-F71</f>
        <v>-1.417</v>
      </c>
      <c r="S71" s="480">
        <f>(IF(Effektmåling!$Q$241="Ja",1.3*H71,H71))-F71</f>
        <v>-1.5948</v>
      </c>
      <c r="T71" s="480">
        <f>(IF(Effektmåling!$Q$241="Ja",1.3*H71,H71))-(IF(Effektmåling!$Q$241="Ja",-0.3*'DB materialer'!D11+G71,G71))</f>
        <v>-0.17779999999999996</v>
      </c>
      <c r="AE71" s="19">
        <f t="shared" si="76"/>
        <v>5</v>
      </c>
      <c r="AF71" s="29" t="str">
        <f>IF((SUMIFS(Effektmåling!$J$178:$J$182,Effektmåling!$D$178:$D$182,$B71,$AH$120:$AH$124,'DB materialer'!AF$3))&lt;&gt;0,(SUMIFS(Effektmåling!$J$178:$J$182,Effektmåling!$D$178:$D$182,$B71,$AH$120:$AH$124,'DB materialer'!AF$3))*-O71,"")</f>
        <v/>
      </c>
      <c r="AG71" s="29" t="str">
        <f>IF((SUMIFS(Effektmåling!$J$178:$J$182,Effektmåling!$D$178:$D$182,$B71,$AH$120:$AH$124,'DB materialer'!AG$3))&lt;&gt;0,(SUMIFS(Effektmåling!$J$178:$J$182,Effektmåling!$D$178:$D$182,$B71,$AH$120:$AH$124,'DB materialer'!AG$3))*-P71,"")</f>
        <v/>
      </c>
      <c r="AH71" s="29" t="str">
        <f>IF((SUMIFS(Effektmåling!$J$178:$J$182,Effektmåling!$D$178:$D$182,$B71,$AH$120:$AH$124,'DB materialer'!AH$3))&lt;&gt;0,(SUMIFS(Effektmåling!$J$178:$J$182,Effektmåling!$D$178:$D$182,$B71,$AH$120:$AH$124,'DB materialer'!AH$3))*-Q71,"")</f>
        <v/>
      </c>
      <c r="AI71" s="29" t="str">
        <f>IF((SUMIFS(Effektmåling!$J$178:$J$182,Effektmåling!$D$178:$D$182,$B71,$AH$120:$AH$124,'DB materialer'!AI$3))&lt;&gt;0,(SUMIFS(Effektmåling!$J$178:$J$182,Effektmåling!$D$178:$D$182,$B71,$AH$120:$AH$124,'DB materialer'!AI$3))*-R71,"")</f>
        <v/>
      </c>
      <c r="AJ71" s="29" t="str">
        <f>IF((SUMIFS(Effektmåling!$J$178:$J$182,Effektmåling!$D$178:$D$182,$B71,$AH$120:$AH$124,'DB materialer'!AJ$3))&lt;&gt;0,(SUMIFS(Effektmåling!$J$178:$J$182,Effektmåling!$D$178:$D$182,$B71,$AH$120:$AH$124,'DB materialer'!AJ$3))*-S71,"")</f>
        <v/>
      </c>
      <c r="AK71" s="29" t="str">
        <f>IF((SUMIFS(Effektmåling!$J$178:$J$182,Effektmåling!$D$178:$D$182,$B71,$AH$120:$AH$124,'DB materialer'!AK$3))&lt;&gt;0,(SUMIFS(Effektmåling!$J$178:$J$182,Effektmåling!$D$178:$D$182,$B71,$AH$120:$AH$124,'DB materialer'!AK$3))*-T71,"")</f>
        <v/>
      </c>
      <c r="AM71" s="29" t="str">
        <f>IF((SUMIFS(Effektmåling!$J$163:$J$167,Effektmåling!$D$163:$D$167,$B71,$AO$120:$AO$124,'DB materialer'!AM$3))&lt;&gt;0,(SUMIFS(Effektmåling!$J$163:$J$167,Effektmåling!$D$163:$D$167,$B71,$AO$120:$AO$124,'DB materialer'!AM$3))*(-O71)*($C$122),"")</f>
        <v/>
      </c>
      <c r="AN71" s="29" t="str">
        <f>IF((SUMIFS(Effektmåling!$J$163:$J$167,Effektmåling!$D$163:$D$167,$B71,$AO$120:$AO$124,'DB materialer'!AN$3))&lt;&gt;0,(SUMIFS(Effektmåling!$J$163:$J$167,Effektmåling!$D$163:$D$167,$B71,$AO$120:$AO$124,'DB materialer'!AN$3))*(-P71)*($C$122),"")</f>
        <v/>
      </c>
      <c r="AO71" s="29" t="str">
        <f>IF((SUMIFS(Effektmåling!$J$163:$J$167,Effektmåling!$D$163:$D$167,$B71,$AO$120:$AO$124,'DB materialer'!AO$3))&lt;&gt;0,(SUMIFS(Effektmåling!$J$163:$J$167,Effektmåling!$D$163:$D$167,$B71,$AO$120:$AO$124,'DB materialer'!AO$3))*(-Q71)*($C$122),"")</f>
        <v/>
      </c>
      <c r="AP71" s="29" t="str">
        <f>IF((SUMIFS(Effektmåling!$J$163:$J$167,Effektmåling!$D$163:$D$167,$B71,$AO$120:$AO$124,'DB materialer'!AP$3))&lt;&gt;0,(SUMIFS(Effektmåling!$J$163:$J$167,Effektmåling!$D$163:$D$167,$B71,$AO$120:$AO$124,'DB materialer'!AP$3))*(-R71)*($C$122),"")</f>
        <v/>
      </c>
      <c r="AQ71" s="29" t="str">
        <f>IF((SUMIFS(Effektmåling!$J$163:$J$167,Effektmåling!$D$163:$D$167,$B71,$AO$120:$AO$124,'DB materialer'!AQ$3))&lt;&gt;0,(SUMIFS(Effektmåling!$J$163:$J$167,Effektmåling!$D$163:$D$167,$B71,$AO$120:$AO$124,'DB materialer'!AQ$3))*(-S71)*($C$122),"")</f>
        <v/>
      </c>
      <c r="AR71" s="29" t="str">
        <f>IF((SUMIFS(Effektmåling!$J$163:$J$167,Effektmåling!$D$163:$D$167,$B71,$AO$120:$AO$124,'DB materialer'!AR$3))&lt;&gt;0,(SUMIFS(Effektmåling!$J$163:$J$167,Effektmåling!$D$163:$D$167,$B71,$AO$120:$AO$124,'DB materialer'!AR$3))*(-T71)*($C$122),"")</f>
        <v/>
      </c>
      <c r="AT71" s="30">
        <f t="shared" si="69"/>
        <v>1.0000000000000001E-30</v>
      </c>
      <c r="AU71" s="40">
        <f t="shared" si="70"/>
        <v>-0.88851266616503644</v>
      </c>
      <c r="AV71" s="41">
        <f t="shared" si="71"/>
        <v>-1</v>
      </c>
      <c r="AW71" s="40">
        <f t="shared" si="72"/>
        <v>-0.88851266616503644</v>
      </c>
      <c r="AX71" s="41">
        <f t="shared" si="73"/>
        <v>-1</v>
      </c>
      <c r="AY71" s="41">
        <f t="shared" si="74"/>
        <v>-0.11148733383496356</v>
      </c>
      <c r="BA71" s="29" t="str">
        <f>IF((SUMIFS(Effektmåling!$J$178:$J$182,Effektmåling!$D$178:$D$182,$B71,$AH$120:$AH$124,BA$3))&lt;&gt;0,(SUMIFS(Effektmåling!$J$178:$J$182,Effektmåling!$D$178:$D$182,$B71,$AH$120:$AH$124,BA$3))*-AT71,"")</f>
        <v/>
      </c>
      <c r="BB71" s="29" t="str">
        <f>IF((SUMIFS(Effektmåling!$J$178:$J$182,Effektmåling!$D$178:$D$182,$B71,$AH$120:$AH$124,BB$3))&lt;&gt;0,(SUMIFS(Effektmåling!$J$178:$J$182,Effektmåling!$D$178:$D$182,$B71,$AH$120:$AH$124,BB$3))*-AU71,"")</f>
        <v/>
      </c>
      <c r="BC71" s="29" t="str">
        <f>IF((SUMIFS(Effektmåling!$J$178:$J$182,Effektmåling!$D$178:$D$182,$B71,$AH$120:$AH$124,BC$3))&lt;&gt;0,(SUMIFS(Effektmåling!$J$178:$J$182,Effektmåling!$D$178:$D$182,$B71,$AH$120:$AH$124,BC$3))*-AV71,"")</f>
        <v/>
      </c>
      <c r="BD71" s="29" t="str">
        <f>IF((SUMIFS(Effektmåling!$J$178:$J$182,Effektmåling!$D$178:$D$182,$B71,$AH$120:$AH$124,BD$3))&lt;&gt;0,(SUMIFS(Effektmåling!$J$178:$J$182,Effektmåling!$D$178:$D$182,$B71,$AH$120:$AH$124,BD$3))*-AW71,"")</f>
        <v/>
      </c>
      <c r="BE71" s="29" t="str">
        <f>IF((SUMIFS(Effektmåling!$J$178:$J$182,Effektmåling!$D$178:$D$182,$B71,$AH$120:$AH$124,BE$3))&lt;&gt;0,(SUMIFS(Effektmåling!$J$178:$J$182,Effektmåling!$D$178:$D$182,$B71,$AH$120:$AH$124,BE$3))*-AX71,"")</f>
        <v/>
      </c>
      <c r="BF71" s="29" t="str">
        <f>IF((SUMIFS(Effektmåling!$J$178:$J$182,Effektmåling!$D$178:$D$182,$B71,$AH$120:$AH$124,BF$3))&lt;&gt;0,(SUMIFS(Effektmåling!$J$178:$J$182,Effektmåling!$D$178:$D$182,$B71,$AH$120:$AH$124,BF$3))*-AY71,"")</f>
        <v/>
      </c>
      <c r="BH71" s="29" t="str">
        <f>IF((SUMIFS(Effektmåling!$J$163:$J$167,Effektmåling!$D$163:$D$167,$B71,$AO$120:$AO$124,BH$3))&lt;&gt;0,(SUMIFS(Effektmåling!$J$163:$J$167,Effektmåling!$D$163:$D$167,$B71,$AO$120:$AO$124,BH$3))*-AT71,"")</f>
        <v/>
      </c>
      <c r="BI71" s="29" t="str">
        <f>IF((SUMIFS(Effektmåling!$J$163:$J$167,Effektmåling!$D$163:$D$167,$B71,$AO$120:$AO$124,BI$3))&lt;&gt;0,(SUMIFS(Effektmåling!$J$163:$J$167,Effektmåling!$D$163:$D$167,$B71,$AO$120:$AO$124,BI$3))*-AU71,"")</f>
        <v/>
      </c>
      <c r="BJ71" s="29" t="str">
        <f>IF((SUMIFS(Effektmåling!$J$163:$J$167,Effektmåling!$D$163:$D$167,$B71,$AO$120:$AO$124,BJ$3))&lt;&gt;0,(SUMIFS(Effektmåling!$J$163:$J$167,Effektmåling!$D$163:$D$167,$B71,$AO$120:$AO$124,BJ$3))*-AV71,"")</f>
        <v/>
      </c>
      <c r="BK71" s="29" t="str">
        <f>IF((SUMIFS(Effektmåling!$J$163:$J$167,Effektmåling!$D$163:$D$167,$B71,$AO$120:$AO$124,BK$3))&lt;&gt;0,(SUMIFS(Effektmåling!$J$163:$J$167,Effektmåling!$D$163:$D$167,$B71,$AO$120:$AO$124,BK$3))*-AW71,"")</f>
        <v/>
      </c>
      <c r="BL71" s="29" t="str">
        <f>IF((SUMIFS(Effektmåling!$J$163:$J$167,Effektmåling!$D$163:$D$167,$B71,$AO$120:$AO$124,BL$3))&lt;&gt;0,(SUMIFS(Effektmåling!$J$163:$J$167,Effektmåling!$D$163:$D$167,$B71,$AO$120:$AO$124,BL$3))*-AX71,"")</f>
        <v/>
      </c>
      <c r="BM71" s="29" t="str">
        <f>IF((SUMIFS(Effektmåling!$J$163:$J$167,Effektmåling!$D$163:$D$167,$B71,$AO$120:$AO$124,BM$3))&lt;&gt;0,(SUMIFS(Effektmåling!$J$163:$J$167,Effektmåling!$D$163:$D$167,$B71,$AO$120:$AO$124,BM$3))*-AY71,"")</f>
        <v/>
      </c>
    </row>
    <row r="72" spans="1:65" x14ac:dyDescent="0.15">
      <c r="A72" s="19">
        <f t="shared" si="75"/>
        <v>8</v>
      </c>
      <c r="B72" s="19" t="s">
        <v>254</v>
      </c>
      <c r="C72" s="19">
        <v>1</v>
      </c>
      <c r="D72" s="57">
        <v>0</v>
      </c>
      <c r="E72" s="57">
        <v>0</v>
      </c>
      <c r="F72" s="57">
        <v>0</v>
      </c>
      <c r="G72" s="171">
        <v>-3.5560400000000003</v>
      </c>
      <c r="H72" s="100">
        <f t="shared" si="67"/>
        <v>-4.6790000000000003</v>
      </c>
      <c r="I72" s="57">
        <v>0</v>
      </c>
      <c r="J72" s="57">
        <v>0</v>
      </c>
      <c r="K72" s="57">
        <v>0</v>
      </c>
      <c r="L72" s="73">
        <v>-0.76</v>
      </c>
      <c r="M72" s="73">
        <v>-1</v>
      </c>
      <c r="O72" s="40">
        <f t="shared" si="68"/>
        <v>0</v>
      </c>
      <c r="P72" s="480">
        <f>(IF(Effektmåling!$Q$241="Ja",-0.3*'DB materialer'!D12+G72,G72))-E72</f>
        <v>-3.5560400000000003</v>
      </c>
      <c r="Q72" s="480">
        <f>(IF(Effektmåling!$Q$241="Ja",1.3*H72,H72))-E72</f>
        <v>-4.6790000000000003</v>
      </c>
      <c r="R72" s="480">
        <f>(IF(Effektmåling!$Q$241="Ja",-0.3*'DB materialer'!D12+G72,G72))-F72</f>
        <v>-3.5560400000000003</v>
      </c>
      <c r="S72" s="480">
        <f>(IF(Effektmåling!$Q$241="Ja",1.3*H72,H72))-F72</f>
        <v>-4.6790000000000003</v>
      </c>
      <c r="T72" s="480">
        <f>(IF(Effektmåling!$Q$241="Ja",1.3*H72,H72))-(IF(Effektmåling!$Q$241="Ja",-0.3*'DB materialer'!D12+G72,G72))</f>
        <v>-1.12296</v>
      </c>
      <c r="AE72" s="19">
        <f t="shared" si="76"/>
        <v>6</v>
      </c>
      <c r="AF72" s="29" t="str">
        <f>IF((SUMIFS(Effektmåling!$J$178:$J$182,Effektmåling!$D$178:$D$182,$B72,$AH$120:$AH$124,'DB materialer'!AF$3))&lt;&gt;0,(SUMIFS(Effektmåling!$J$178:$J$182,Effektmåling!$D$178:$D$182,$B72,$AH$120:$AH$124,'DB materialer'!AF$3))*-O72,"")</f>
        <v/>
      </c>
      <c r="AG72" s="29" t="str">
        <f>IF((SUMIFS(Effektmåling!$J$178:$J$182,Effektmåling!$D$178:$D$182,$B72,$AH$120:$AH$124,'DB materialer'!AG$3))&lt;&gt;0,(SUMIFS(Effektmåling!$J$178:$J$182,Effektmåling!$D$178:$D$182,$B72,$AH$120:$AH$124,'DB materialer'!AG$3))*-P72,"")</f>
        <v/>
      </c>
      <c r="AH72" s="29" t="str">
        <f>IF((SUMIFS(Effektmåling!$J$178:$J$182,Effektmåling!$D$178:$D$182,$B72,$AH$120:$AH$124,'DB materialer'!AH$3))&lt;&gt;0,(SUMIFS(Effektmåling!$J$178:$J$182,Effektmåling!$D$178:$D$182,$B72,$AH$120:$AH$124,'DB materialer'!AH$3))*-Q72,"")</f>
        <v/>
      </c>
      <c r="AI72" s="29" t="str">
        <f>IF((SUMIFS(Effektmåling!$J$178:$J$182,Effektmåling!$D$178:$D$182,$B72,$AH$120:$AH$124,'DB materialer'!AI$3))&lt;&gt;0,(SUMIFS(Effektmåling!$J$178:$J$182,Effektmåling!$D$178:$D$182,$B72,$AH$120:$AH$124,'DB materialer'!AI$3))*-R72,"")</f>
        <v/>
      </c>
      <c r="AJ72" s="29" t="str">
        <f>IF((SUMIFS(Effektmåling!$J$178:$J$182,Effektmåling!$D$178:$D$182,$B72,$AH$120:$AH$124,'DB materialer'!AJ$3))&lt;&gt;0,(SUMIFS(Effektmåling!$J$178:$J$182,Effektmåling!$D$178:$D$182,$B72,$AH$120:$AH$124,'DB materialer'!AJ$3))*-S72,"")</f>
        <v/>
      </c>
      <c r="AK72" s="29" t="str">
        <f>IF((SUMIFS(Effektmåling!$J$178:$J$182,Effektmåling!$D$178:$D$182,$B72,$AH$120:$AH$124,'DB materialer'!AK$3))&lt;&gt;0,(SUMIFS(Effektmåling!$J$178:$J$182,Effektmåling!$D$178:$D$182,$B72,$AH$120:$AH$124,'DB materialer'!AK$3))*-T72,"")</f>
        <v/>
      </c>
      <c r="AM72" s="29" t="str">
        <f>IF((SUMIFS(Effektmåling!$J$163:$J$167,Effektmåling!$D$163:$D$167,$B72,$AO$120:$AO$124,'DB materialer'!AM$3))&lt;&gt;0,(SUMIFS(Effektmåling!$J$163:$J$167,Effektmåling!$D$163:$D$167,$B72,$AO$120:$AO$124,'DB materialer'!AM$3))*(-O72)*($C$122),"")</f>
        <v/>
      </c>
      <c r="AN72" s="29" t="str">
        <f>IF((SUMIFS(Effektmåling!$J$163:$J$167,Effektmåling!$D$163:$D$167,$B72,$AO$120:$AO$124,'DB materialer'!AN$3))&lt;&gt;0,(SUMIFS(Effektmåling!$J$163:$J$167,Effektmåling!$D$163:$D$167,$B72,$AO$120:$AO$124,'DB materialer'!AN$3))*(-P72)*($C$122),"")</f>
        <v/>
      </c>
      <c r="AO72" s="29" t="str">
        <f>IF((SUMIFS(Effektmåling!$J$163:$J$167,Effektmåling!$D$163:$D$167,$B72,$AO$120:$AO$124,'DB materialer'!AO$3))&lt;&gt;0,(SUMIFS(Effektmåling!$J$163:$J$167,Effektmåling!$D$163:$D$167,$B72,$AO$120:$AO$124,'DB materialer'!AO$3))*(-Q72)*($C$122),"")</f>
        <v/>
      </c>
      <c r="AP72" s="29" t="str">
        <f>IF((SUMIFS(Effektmåling!$J$163:$J$167,Effektmåling!$D$163:$D$167,$B72,$AO$120:$AO$124,'DB materialer'!AP$3))&lt;&gt;0,(SUMIFS(Effektmåling!$J$163:$J$167,Effektmåling!$D$163:$D$167,$B72,$AO$120:$AO$124,'DB materialer'!AP$3))*(-R72)*($C$122),"")</f>
        <v/>
      </c>
      <c r="AQ72" s="29" t="str">
        <f>IF((SUMIFS(Effektmåling!$J$163:$J$167,Effektmåling!$D$163:$D$167,$B72,$AO$120:$AO$124,'DB materialer'!AQ$3))&lt;&gt;0,(SUMIFS(Effektmåling!$J$163:$J$167,Effektmåling!$D$163:$D$167,$B72,$AO$120:$AO$124,'DB materialer'!AQ$3))*(-S72)*($C$122),"")</f>
        <v/>
      </c>
      <c r="AR72" s="29" t="str">
        <f>IF((SUMIFS(Effektmåling!$J$163:$J$167,Effektmåling!$D$163:$D$167,$B72,$AO$120:$AO$124,'DB materialer'!AR$3))&lt;&gt;0,(SUMIFS(Effektmåling!$J$163:$J$167,Effektmåling!$D$163:$D$167,$B72,$AO$120:$AO$124,'DB materialer'!AR$3))*(-T72)*($C$122),"")</f>
        <v/>
      </c>
      <c r="AT72" s="30">
        <f t="shared" si="69"/>
        <v>1.0000000000000001E-30</v>
      </c>
      <c r="AU72" s="40">
        <f t="shared" si="70"/>
        <v>-0.76</v>
      </c>
      <c r="AV72" s="41">
        <f t="shared" si="71"/>
        <v>-1</v>
      </c>
      <c r="AW72" s="40">
        <f t="shared" si="72"/>
        <v>-0.76</v>
      </c>
      <c r="AX72" s="41">
        <f t="shared" si="73"/>
        <v>-1</v>
      </c>
      <c r="AY72" s="41">
        <f t="shared" si="74"/>
        <v>-0.24</v>
      </c>
      <c r="BA72" s="29" t="str">
        <f>IF((SUMIFS(Effektmåling!$J$178:$J$182,Effektmåling!$D$178:$D$182,$B72,$AH$120:$AH$124,BA$3))&lt;&gt;0,(SUMIFS(Effektmåling!$J$178:$J$182,Effektmåling!$D$178:$D$182,$B72,$AH$120:$AH$124,BA$3))*-AT72,"")</f>
        <v/>
      </c>
      <c r="BB72" s="29" t="str">
        <f>IF((SUMIFS(Effektmåling!$J$178:$J$182,Effektmåling!$D$178:$D$182,$B72,$AH$120:$AH$124,BB$3))&lt;&gt;0,(SUMIFS(Effektmåling!$J$178:$J$182,Effektmåling!$D$178:$D$182,$B72,$AH$120:$AH$124,BB$3))*-AU72,"")</f>
        <v/>
      </c>
      <c r="BC72" s="29" t="str">
        <f>IF((SUMIFS(Effektmåling!$J$178:$J$182,Effektmåling!$D$178:$D$182,$B72,$AH$120:$AH$124,BC$3))&lt;&gt;0,(SUMIFS(Effektmåling!$J$178:$J$182,Effektmåling!$D$178:$D$182,$B72,$AH$120:$AH$124,BC$3))*-AV72,"")</f>
        <v/>
      </c>
      <c r="BD72" s="29" t="str">
        <f>IF((SUMIFS(Effektmåling!$J$178:$J$182,Effektmåling!$D$178:$D$182,$B72,$AH$120:$AH$124,BD$3))&lt;&gt;0,(SUMIFS(Effektmåling!$J$178:$J$182,Effektmåling!$D$178:$D$182,$B72,$AH$120:$AH$124,BD$3))*-AW72,"")</f>
        <v/>
      </c>
      <c r="BE72" s="29" t="str">
        <f>IF((SUMIFS(Effektmåling!$J$178:$J$182,Effektmåling!$D$178:$D$182,$B72,$AH$120:$AH$124,BE$3))&lt;&gt;0,(SUMIFS(Effektmåling!$J$178:$J$182,Effektmåling!$D$178:$D$182,$B72,$AH$120:$AH$124,BE$3))*-AX72,"")</f>
        <v/>
      </c>
      <c r="BF72" s="29" t="str">
        <f>IF((SUMIFS(Effektmåling!$J$178:$J$182,Effektmåling!$D$178:$D$182,$B72,$AH$120:$AH$124,BF$3))&lt;&gt;0,(SUMIFS(Effektmåling!$J$178:$J$182,Effektmåling!$D$178:$D$182,$B72,$AH$120:$AH$124,BF$3))*-AY72,"")</f>
        <v/>
      </c>
      <c r="BH72" s="29" t="str">
        <f>IF((SUMIFS(Effektmåling!$J$163:$J$167,Effektmåling!$D$163:$D$167,$B72,$AO$120:$AO$124,BH$3))&lt;&gt;0,(SUMIFS(Effektmåling!$J$163:$J$167,Effektmåling!$D$163:$D$167,$B72,$AO$120:$AO$124,BH$3))*-AT72,"")</f>
        <v/>
      </c>
      <c r="BI72" s="29" t="str">
        <f>IF((SUMIFS(Effektmåling!$J$163:$J$167,Effektmåling!$D$163:$D$167,$B72,$AO$120:$AO$124,BI$3))&lt;&gt;0,(SUMIFS(Effektmåling!$J$163:$J$167,Effektmåling!$D$163:$D$167,$B72,$AO$120:$AO$124,BI$3))*-AU72,"")</f>
        <v/>
      </c>
      <c r="BJ72" s="29" t="str">
        <f>IF((SUMIFS(Effektmåling!$J$163:$J$167,Effektmåling!$D$163:$D$167,$B72,$AO$120:$AO$124,BJ$3))&lt;&gt;0,(SUMIFS(Effektmåling!$J$163:$J$167,Effektmåling!$D$163:$D$167,$B72,$AO$120:$AO$124,BJ$3))*-AV72,"")</f>
        <v/>
      </c>
      <c r="BK72" s="29" t="str">
        <f>IF((SUMIFS(Effektmåling!$J$163:$J$167,Effektmåling!$D$163:$D$167,$B72,$AO$120:$AO$124,BK$3))&lt;&gt;0,(SUMIFS(Effektmåling!$J$163:$J$167,Effektmåling!$D$163:$D$167,$B72,$AO$120:$AO$124,BK$3))*-AW72,"")</f>
        <v/>
      </c>
      <c r="BL72" s="29" t="str">
        <f>IF((SUMIFS(Effektmåling!$J$163:$J$167,Effektmåling!$D$163:$D$167,$B72,$AO$120:$AO$124,BL$3))&lt;&gt;0,(SUMIFS(Effektmåling!$J$163:$J$167,Effektmåling!$D$163:$D$167,$B72,$AO$120:$AO$124,BL$3))*-AX72,"")</f>
        <v/>
      </c>
      <c r="BM72" s="29" t="str">
        <f>IF((SUMIFS(Effektmåling!$J$163:$J$167,Effektmåling!$D$163:$D$167,$B72,$AO$120:$AO$124,BM$3))&lt;&gt;0,(SUMIFS(Effektmåling!$J$163:$J$167,Effektmåling!$D$163:$D$167,$B72,$AO$120:$AO$124,BM$3))*-AY72,"")</f>
        <v/>
      </c>
    </row>
    <row r="73" spans="1:65" x14ac:dyDescent="0.15">
      <c r="A73" s="19">
        <f t="shared" si="75"/>
        <v>9</v>
      </c>
      <c r="B73" s="19" t="s">
        <v>255</v>
      </c>
      <c r="C73" s="19">
        <v>1</v>
      </c>
      <c r="D73" s="57">
        <v>0</v>
      </c>
      <c r="E73" s="57">
        <v>0</v>
      </c>
      <c r="F73" s="57">
        <v>0</v>
      </c>
      <c r="G73" s="171">
        <v>-13.08264</v>
      </c>
      <c r="H73" s="100">
        <f t="shared" si="67"/>
        <v>-17.213999999999999</v>
      </c>
      <c r="I73" s="57">
        <v>0</v>
      </c>
      <c r="J73" s="57">
        <v>0</v>
      </c>
      <c r="K73" s="57">
        <v>0</v>
      </c>
      <c r="L73" s="90">
        <v>-52838.238198696425</v>
      </c>
      <c r="M73" s="90">
        <v>-69523.997629863719</v>
      </c>
      <c r="O73" s="40">
        <f t="shared" si="68"/>
        <v>0</v>
      </c>
      <c r="P73" s="480">
        <f>(IF(Effektmåling!$Q$241="Ja",-0.3*'DB materialer'!D13+G73,G73))-E73</f>
        <v>-13.08264</v>
      </c>
      <c r="Q73" s="480">
        <f>(IF(Effektmåling!$Q$241="Ja",1.3*H73,H73))-E73</f>
        <v>-17.213999999999999</v>
      </c>
      <c r="R73" s="480">
        <f>(IF(Effektmåling!$Q$241="Ja",-0.3*'DB materialer'!D13+G73,G73))-F73</f>
        <v>-13.08264</v>
      </c>
      <c r="S73" s="480">
        <f>(IF(Effektmåling!$Q$241="Ja",1.3*H73,H73))-F73</f>
        <v>-17.213999999999999</v>
      </c>
      <c r="T73" s="480">
        <f>(IF(Effektmåling!$Q$241="Ja",1.3*H73,H73))-(IF(Effektmåling!$Q$241="Ja",-0.3*'DB materialer'!D13+G73,G73))</f>
        <v>-4.131359999999999</v>
      </c>
      <c r="AE73" s="19">
        <f t="shared" si="76"/>
        <v>7</v>
      </c>
      <c r="AF73" s="29" t="str">
        <f>IF((SUMIFS(Effektmåling!$J$178:$J$182,Effektmåling!$D$178:$D$182,$B73,$AH$120:$AH$124,'DB materialer'!AF$3))&lt;&gt;0,(SUMIFS(Effektmåling!$J$178:$J$182,Effektmåling!$D$178:$D$182,$B73,$AH$120:$AH$124,'DB materialer'!AF$3))*-O73,"")</f>
        <v/>
      </c>
      <c r="AG73" s="29" t="str">
        <f>IF((SUMIFS(Effektmåling!$J$178:$J$182,Effektmåling!$D$178:$D$182,$B73,$AH$120:$AH$124,'DB materialer'!AG$3))&lt;&gt;0,(SUMIFS(Effektmåling!$J$178:$J$182,Effektmåling!$D$178:$D$182,$B73,$AH$120:$AH$124,'DB materialer'!AG$3))*-P73,"")</f>
        <v/>
      </c>
      <c r="AH73" s="29" t="str">
        <f>IF((SUMIFS(Effektmåling!$J$178:$J$182,Effektmåling!$D$178:$D$182,$B73,$AH$120:$AH$124,'DB materialer'!AH$3))&lt;&gt;0,(SUMIFS(Effektmåling!$J$178:$J$182,Effektmåling!$D$178:$D$182,$B73,$AH$120:$AH$124,'DB materialer'!AH$3))*-Q73,"")</f>
        <v/>
      </c>
      <c r="AI73" s="29" t="str">
        <f>IF((SUMIFS(Effektmåling!$J$178:$J$182,Effektmåling!$D$178:$D$182,$B73,$AH$120:$AH$124,'DB materialer'!AI$3))&lt;&gt;0,(SUMIFS(Effektmåling!$J$178:$J$182,Effektmåling!$D$178:$D$182,$B73,$AH$120:$AH$124,'DB materialer'!AI$3))*-R73,"")</f>
        <v/>
      </c>
      <c r="AJ73" s="29" t="str">
        <f>IF((SUMIFS(Effektmåling!$J$178:$J$182,Effektmåling!$D$178:$D$182,$B73,$AH$120:$AH$124,'DB materialer'!AJ$3))&lt;&gt;0,(SUMIFS(Effektmåling!$J$178:$J$182,Effektmåling!$D$178:$D$182,$B73,$AH$120:$AH$124,'DB materialer'!AJ$3))*-S73,"")</f>
        <v/>
      </c>
      <c r="AK73" s="29" t="str">
        <f>IF((SUMIFS(Effektmåling!$J$178:$J$182,Effektmåling!$D$178:$D$182,$B73,$AH$120:$AH$124,'DB materialer'!AK$3))&lt;&gt;0,(SUMIFS(Effektmåling!$J$178:$J$182,Effektmåling!$D$178:$D$182,$B73,$AH$120:$AH$124,'DB materialer'!AK$3))*-T73,"")</f>
        <v/>
      </c>
      <c r="AM73" s="29" t="str">
        <f>IF((SUMIFS(Effektmåling!$J$163:$J$167,Effektmåling!$D$163:$D$167,$B73,$AO$120:$AO$124,'DB materialer'!AM$3))&lt;&gt;0,(SUMIFS(Effektmåling!$J$163:$J$167,Effektmåling!$D$163:$D$167,$B73,$AO$120:$AO$124,'DB materialer'!AM$3))*(-O73)*($C$122),"")</f>
        <v/>
      </c>
      <c r="AN73" s="29" t="str">
        <f>IF((SUMIFS(Effektmåling!$J$163:$J$167,Effektmåling!$D$163:$D$167,$B73,$AO$120:$AO$124,'DB materialer'!AN$3))&lt;&gt;0,(SUMIFS(Effektmåling!$J$163:$J$167,Effektmåling!$D$163:$D$167,$B73,$AO$120:$AO$124,'DB materialer'!AN$3))*(-P73)*($C$122),"")</f>
        <v/>
      </c>
      <c r="AO73" s="29" t="str">
        <f>IF((SUMIFS(Effektmåling!$J$163:$J$167,Effektmåling!$D$163:$D$167,$B73,$AO$120:$AO$124,'DB materialer'!AO$3))&lt;&gt;0,(SUMIFS(Effektmåling!$J$163:$J$167,Effektmåling!$D$163:$D$167,$B73,$AO$120:$AO$124,'DB materialer'!AO$3))*(-Q73)*($C$122),"")</f>
        <v/>
      </c>
      <c r="AP73" s="29" t="str">
        <f>IF((SUMIFS(Effektmåling!$J$163:$J$167,Effektmåling!$D$163:$D$167,$B73,$AO$120:$AO$124,'DB materialer'!AP$3))&lt;&gt;0,(SUMIFS(Effektmåling!$J$163:$J$167,Effektmåling!$D$163:$D$167,$B73,$AO$120:$AO$124,'DB materialer'!AP$3))*(-R73)*($C$122),"")</f>
        <v/>
      </c>
      <c r="AQ73" s="29" t="str">
        <f>IF((SUMIFS(Effektmåling!$J$163:$J$167,Effektmåling!$D$163:$D$167,$B73,$AO$120:$AO$124,'DB materialer'!AQ$3))&lt;&gt;0,(SUMIFS(Effektmåling!$J$163:$J$167,Effektmåling!$D$163:$D$167,$B73,$AO$120:$AO$124,'DB materialer'!AQ$3))*(-S73)*($C$122),"")</f>
        <v/>
      </c>
      <c r="AR73" s="29" t="str">
        <f>IF((SUMIFS(Effektmåling!$J$163:$J$167,Effektmåling!$D$163:$D$167,$B73,$AO$120:$AO$124,'DB materialer'!AR$3))&lt;&gt;0,(SUMIFS(Effektmåling!$J$163:$J$167,Effektmåling!$D$163:$D$167,$B73,$AO$120:$AO$124,'DB materialer'!AR$3))*(-T73)*($C$122),"")</f>
        <v/>
      </c>
      <c r="AT73" s="30">
        <f t="shared" si="69"/>
        <v>1.0000000000000001E-30</v>
      </c>
      <c r="AU73" s="40">
        <f t="shared" si="70"/>
        <v>-52838.238198696425</v>
      </c>
      <c r="AV73" s="41">
        <f t="shared" si="71"/>
        <v>-69523.997629863719</v>
      </c>
      <c r="AW73" s="40">
        <f t="shared" si="72"/>
        <v>-52838.238198696425</v>
      </c>
      <c r="AX73" s="41">
        <f t="shared" si="73"/>
        <v>-69523.997629863719</v>
      </c>
      <c r="AY73" s="41">
        <f t="shared" si="74"/>
        <v>-16685.759431167295</v>
      </c>
      <c r="BA73" s="29" t="str">
        <f>IF((SUMIFS(Effektmåling!$J$178:$J$182,Effektmåling!$D$178:$D$182,$B73,$AH$120:$AH$124,BA$3))&lt;&gt;0,(SUMIFS(Effektmåling!$J$178:$J$182,Effektmåling!$D$178:$D$182,$B73,$AH$120:$AH$124,BA$3))*-AT73,"")</f>
        <v/>
      </c>
      <c r="BB73" s="29" t="str">
        <f>IF((SUMIFS(Effektmåling!$J$178:$J$182,Effektmåling!$D$178:$D$182,$B73,$AH$120:$AH$124,BB$3))&lt;&gt;0,(SUMIFS(Effektmåling!$J$178:$J$182,Effektmåling!$D$178:$D$182,$B73,$AH$120:$AH$124,BB$3))*-AU73,"")</f>
        <v/>
      </c>
      <c r="BC73" s="29" t="str">
        <f>IF((SUMIFS(Effektmåling!$J$178:$J$182,Effektmåling!$D$178:$D$182,$B73,$AH$120:$AH$124,BC$3))&lt;&gt;0,(SUMIFS(Effektmåling!$J$178:$J$182,Effektmåling!$D$178:$D$182,$B73,$AH$120:$AH$124,BC$3))*-AV73,"")</f>
        <v/>
      </c>
      <c r="BD73" s="29" t="str">
        <f>IF((SUMIFS(Effektmåling!$J$178:$J$182,Effektmåling!$D$178:$D$182,$B73,$AH$120:$AH$124,BD$3))&lt;&gt;0,(SUMIFS(Effektmåling!$J$178:$J$182,Effektmåling!$D$178:$D$182,$B73,$AH$120:$AH$124,BD$3))*-AW73,"")</f>
        <v/>
      </c>
      <c r="BE73" s="29" t="str">
        <f>IF((SUMIFS(Effektmåling!$J$178:$J$182,Effektmåling!$D$178:$D$182,$B73,$AH$120:$AH$124,BE$3))&lt;&gt;0,(SUMIFS(Effektmåling!$J$178:$J$182,Effektmåling!$D$178:$D$182,$B73,$AH$120:$AH$124,BE$3))*-AX73,"")</f>
        <v/>
      </c>
      <c r="BF73" s="29" t="str">
        <f>IF((SUMIFS(Effektmåling!$J$178:$J$182,Effektmåling!$D$178:$D$182,$B73,$AH$120:$AH$124,BF$3))&lt;&gt;0,(SUMIFS(Effektmåling!$J$178:$J$182,Effektmåling!$D$178:$D$182,$B73,$AH$120:$AH$124,BF$3))*-AY73,"")</f>
        <v/>
      </c>
      <c r="BH73" s="29" t="str">
        <f>IF((SUMIFS(Effektmåling!$J$163:$J$167,Effektmåling!$D$163:$D$167,$B73,$AO$120:$AO$124,BH$3))&lt;&gt;0,(SUMIFS(Effektmåling!$J$163:$J$167,Effektmåling!$D$163:$D$167,$B73,$AO$120:$AO$124,BH$3))*-AT73,"")</f>
        <v/>
      </c>
      <c r="BI73" s="29" t="str">
        <f>IF((SUMIFS(Effektmåling!$J$163:$J$167,Effektmåling!$D$163:$D$167,$B73,$AO$120:$AO$124,BI$3))&lt;&gt;0,(SUMIFS(Effektmåling!$J$163:$J$167,Effektmåling!$D$163:$D$167,$B73,$AO$120:$AO$124,BI$3))*-AU73,"")</f>
        <v/>
      </c>
      <c r="BJ73" s="29" t="str">
        <f>IF((SUMIFS(Effektmåling!$J$163:$J$167,Effektmåling!$D$163:$D$167,$B73,$AO$120:$AO$124,BJ$3))&lt;&gt;0,(SUMIFS(Effektmåling!$J$163:$J$167,Effektmåling!$D$163:$D$167,$B73,$AO$120:$AO$124,BJ$3))*-AV73,"")</f>
        <v/>
      </c>
      <c r="BK73" s="29" t="str">
        <f>IF((SUMIFS(Effektmåling!$J$163:$J$167,Effektmåling!$D$163:$D$167,$B73,$AO$120:$AO$124,BK$3))&lt;&gt;0,(SUMIFS(Effektmåling!$J$163:$J$167,Effektmåling!$D$163:$D$167,$B73,$AO$120:$AO$124,BK$3))*-AW73,"")</f>
        <v/>
      </c>
      <c r="BL73" s="29" t="str">
        <f>IF((SUMIFS(Effektmåling!$J$163:$J$167,Effektmåling!$D$163:$D$167,$B73,$AO$120:$AO$124,BL$3))&lt;&gt;0,(SUMIFS(Effektmåling!$J$163:$J$167,Effektmåling!$D$163:$D$167,$B73,$AO$120:$AO$124,BL$3))*-AX73,"")</f>
        <v/>
      </c>
      <c r="BM73" s="29" t="str">
        <f>IF((SUMIFS(Effektmåling!$J$163:$J$167,Effektmåling!$D$163:$D$167,$B73,$AO$120:$AO$124,BM$3))&lt;&gt;0,(SUMIFS(Effektmåling!$J$163:$J$167,Effektmåling!$D$163:$D$167,$B73,$AO$120:$AO$124,BM$3))*-AY73,"")</f>
        <v/>
      </c>
    </row>
    <row r="74" spans="1:65" x14ac:dyDescent="0.15">
      <c r="A74" s="19">
        <f t="shared" si="75"/>
        <v>10</v>
      </c>
      <c r="B74" s="19" t="s">
        <v>256</v>
      </c>
      <c r="C74" s="19">
        <v>1</v>
      </c>
      <c r="D74" s="57">
        <v>0</v>
      </c>
      <c r="E74" s="57">
        <v>0</v>
      </c>
      <c r="F74" s="57">
        <v>0</v>
      </c>
      <c r="G74" s="171">
        <v>-3.8190000000000004</v>
      </c>
      <c r="H74" s="100">
        <f t="shared" si="67"/>
        <v>-5.0250000000000004</v>
      </c>
      <c r="I74" s="57">
        <v>0</v>
      </c>
      <c r="J74" s="57">
        <v>0</v>
      </c>
      <c r="K74" s="57">
        <v>0</v>
      </c>
      <c r="L74" s="90">
        <v>-1671.0843373493976</v>
      </c>
      <c r="M74" s="90">
        <v>-2198.7951807228915</v>
      </c>
      <c r="O74" s="40">
        <f t="shared" si="68"/>
        <v>0</v>
      </c>
      <c r="P74" s="480">
        <f>(IF(Effektmåling!$Q$241="Ja",-0.3*'DB materialer'!D14+G74,G74))-E74</f>
        <v>-3.8190000000000004</v>
      </c>
      <c r="Q74" s="480">
        <f>(IF(Effektmåling!$Q$241="Ja",1.3*H74,H74))-E74</f>
        <v>-5.0250000000000004</v>
      </c>
      <c r="R74" s="480">
        <f>(IF(Effektmåling!$Q$241="Ja",-0.3*'DB materialer'!D14+G74,G74))-F74</f>
        <v>-3.8190000000000004</v>
      </c>
      <c r="S74" s="480">
        <f>(IF(Effektmåling!$Q$241="Ja",1.3*H74,H74))-F74</f>
        <v>-5.0250000000000004</v>
      </c>
      <c r="T74" s="480">
        <f>(IF(Effektmåling!$Q$241="Ja",1.3*H74,H74))-(IF(Effektmåling!$Q$241="Ja",-0.3*'DB materialer'!D14+G74,G74))</f>
        <v>-1.206</v>
      </c>
      <c r="AE74" s="19">
        <f t="shared" si="76"/>
        <v>8</v>
      </c>
      <c r="AF74" s="29" t="str">
        <f>IF((SUMIFS(Effektmåling!$J$178:$J$182,Effektmåling!$D$178:$D$182,$B74,$AH$120:$AH$124,'DB materialer'!AF$3))&lt;&gt;0,(SUMIFS(Effektmåling!$J$178:$J$182,Effektmåling!$D$178:$D$182,$B74,$AH$120:$AH$124,'DB materialer'!AF$3))*-O74,"")</f>
        <v/>
      </c>
      <c r="AG74" s="29" t="str">
        <f>IF((SUMIFS(Effektmåling!$J$178:$J$182,Effektmåling!$D$178:$D$182,$B74,$AH$120:$AH$124,'DB materialer'!AG$3))&lt;&gt;0,(SUMIFS(Effektmåling!$J$178:$J$182,Effektmåling!$D$178:$D$182,$B74,$AH$120:$AH$124,'DB materialer'!AG$3))*-P74,"")</f>
        <v/>
      </c>
      <c r="AH74" s="29" t="str">
        <f>IF((SUMIFS(Effektmåling!$J$178:$J$182,Effektmåling!$D$178:$D$182,$B74,$AH$120:$AH$124,'DB materialer'!AH$3))&lt;&gt;0,(SUMIFS(Effektmåling!$J$178:$J$182,Effektmåling!$D$178:$D$182,$B74,$AH$120:$AH$124,'DB materialer'!AH$3))*-Q74,"")</f>
        <v/>
      </c>
      <c r="AI74" s="29" t="str">
        <f>IF((SUMIFS(Effektmåling!$J$178:$J$182,Effektmåling!$D$178:$D$182,$B74,$AH$120:$AH$124,'DB materialer'!AI$3))&lt;&gt;0,(SUMIFS(Effektmåling!$J$178:$J$182,Effektmåling!$D$178:$D$182,$B74,$AH$120:$AH$124,'DB materialer'!AI$3))*-R74,"")</f>
        <v/>
      </c>
      <c r="AJ74" s="29" t="str">
        <f>IF((SUMIFS(Effektmåling!$J$178:$J$182,Effektmåling!$D$178:$D$182,$B74,$AH$120:$AH$124,'DB materialer'!AJ$3))&lt;&gt;0,(SUMIFS(Effektmåling!$J$178:$J$182,Effektmåling!$D$178:$D$182,$B74,$AH$120:$AH$124,'DB materialer'!AJ$3))*-S74,"")</f>
        <v/>
      </c>
      <c r="AK74" s="29" t="str">
        <f>IF((SUMIFS(Effektmåling!$J$178:$J$182,Effektmåling!$D$178:$D$182,$B74,$AH$120:$AH$124,'DB materialer'!AK$3))&lt;&gt;0,(SUMIFS(Effektmåling!$J$178:$J$182,Effektmåling!$D$178:$D$182,$B74,$AH$120:$AH$124,'DB materialer'!AK$3))*-T74,"")</f>
        <v/>
      </c>
      <c r="AM74" s="29" t="str">
        <f>IF((SUMIFS(Effektmåling!$J$163:$J$167,Effektmåling!$D$163:$D$167,$B74,$AO$120:$AO$124,'DB materialer'!AM$3))&lt;&gt;0,(SUMIFS(Effektmåling!$J$163:$J$167,Effektmåling!$D$163:$D$167,$B74,$AO$120:$AO$124,'DB materialer'!AM$3))*(-O74)*($C$122),"")</f>
        <v/>
      </c>
      <c r="AN74" s="29" t="str">
        <f>IF((SUMIFS(Effektmåling!$J$163:$J$167,Effektmåling!$D$163:$D$167,$B74,$AO$120:$AO$124,'DB materialer'!AN$3))&lt;&gt;0,(SUMIFS(Effektmåling!$J$163:$J$167,Effektmåling!$D$163:$D$167,$B74,$AO$120:$AO$124,'DB materialer'!AN$3))*(-P74)*($C$122),"")</f>
        <v/>
      </c>
      <c r="AO74" s="29" t="str">
        <f>IF((SUMIFS(Effektmåling!$J$163:$J$167,Effektmåling!$D$163:$D$167,$B74,$AO$120:$AO$124,'DB materialer'!AO$3))&lt;&gt;0,(SUMIFS(Effektmåling!$J$163:$J$167,Effektmåling!$D$163:$D$167,$B74,$AO$120:$AO$124,'DB materialer'!AO$3))*(-Q74)*($C$122),"")</f>
        <v/>
      </c>
      <c r="AP74" s="29" t="str">
        <f>IF((SUMIFS(Effektmåling!$J$163:$J$167,Effektmåling!$D$163:$D$167,$B74,$AO$120:$AO$124,'DB materialer'!AP$3))&lt;&gt;0,(SUMIFS(Effektmåling!$J$163:$J$167,Effektmåling!$D$163:$D$167,$B74,$AO$120:$AO$124,'DB materialer'!AP$3))*(-R74)*($C$122),"")</f>
        <v/>
      </c>
      <c r="AQ74" s="29" t="str">
        <f>IF((SUMIFS(Effektmåling!$J$163:$J$167,Effektmåling!$D$163:$D$167,$B74,$AO$120:$AO$124,'DB materialer'!AQ$3))&lt;&gt;0,(SUMIFS(Effektmåling!$J$163:$J$167,Effektmåling!$D$163:$D$167,$B74,$AO$120:$AO$124,'DB materialer'!AQ$3))*(-S74)*($C$122),"")</f>
        <v/>
      </c>
      <c r="AR74" s="29" t="str">
        <f>IF((SUMIFS(Effektmåling!$J$163:$J$167,Effektmåling!$D$163:$D$167,$B74,$AO$120:$AO$124,'DB materialer'!AR$3))&lt;&gt;0,(SUMIFS(Effektmåling!$J$163:$J$167,Effektmåling!$D$163:$D$167,$B74,$AO$120:$AO$124,'DB materialer'!AR$3))*(-T74)*($C$122),"")</f>
        <v/>
      </c>
      <c r="AT74" s="30">
        <f t="shared" si="69"/>
        <v>1.0000000000000001E-30</v>
      </c>
      <c r="AU74" s="40">
        <f t="shared" si="70"/>
        <v>-1671.0843373493976</v>
      </c>
      <c r="AV74" s="41">
        <f t="shared" si="71"/>
        <v>-2198.7951807228915</v>
      </c>
      <c r="AW74" s="40">
        <f t="shared" si="72"/>
        <v>-1671.0843373493976</v>
      </c>
      <c r="AX74" s="41">
        <f t="shared" si="73"/>
        <v>-2198.7951807228915</v>
      </c>
      <c r="AY74" s="41">
        <f t="shared" si="74"/>
        <v>-527.71084337349384</v>
      </c>
      <c r="BA74" s="29" t="str">
        <f>IF((SUMIFS(Effektmåling!$J$178:$J$182,Effektmåling!$D$178:$D$182,$B74,$AH$120:$AH$124,BA$3))&lt;&gt;0,(SUMIFS(Effektmåling!$J$178:$J$182,Effektmåling!$D$178:$D$182,$B74,$AH$120:$AH$124,BA$3))*-AT74,"")</f>
        <v/>
      </c>
      <c r="BB74" s="29" t="str">
        <f>IF((SUMIFS(Effektmåling!$J$178:$J$182,Effektmåling!$D$178:$D$182,$B74,$AH$120:$AH$124,BB$3))&lt;&gt;0,(SUMIFS(Effektmåling!$J$178:$J$182,Effektmåling!$D$178:$D$182,$B74,$AH$120:$AH$124,BB$3))*-AU74,"")</f>
        <v/>
      </c>
      <c r="BC74" s="29" t="str">
        <f>IF((SUMIFS(Effektmåling!$J$178:$J$182,Effektmåling!$D$178:$D$182,$B74,$AH$120:$AH$124,BC$3))&lt;&gt;0,(SUMIFS(Effektmåling!$J$178:$J$182,Effektmåling!$D$178:$D$182,$B74,$AH$120:$AH$124,BC$3))*-AV74,"")</f>
        <v/>
      </c>
      <c r="BD74" s="29" t="str">
        <f>IF((SUMIFS(Effektmåling!$J$178:$J$182,Effektmåling!$D$178:$D$182,$B74,$AH$120:$AH$124,BD$3))&lt;&gt;0,(SUMIFS(Effektmåling!$J$178:$J$182,Effektmåling!$D$178:$D$182,$B74,$AH$120:$AH$124,BD$3))*-AW74,"")</f>
        <v/>
      </c>
      <c r="BE74" s="29" t="str">
        <f>IF((SUMIFS(Effektmåling!$J$178:$J$182,Effektmåling!$D$178:$D$182,$B74,$AH$120:$AH$124,BE$3))&lt;&gt;0,(SUMIFS(Effektmåling!$J$178:$J$182,Effektmåling!$D$178:$D$182,$B74,$AH$120:$AH$124,BE$3))*-AX74,"")</f>
        <v/>
      </c>
      <c r="BF74" s="29" t="str">
        <f>IF((SUMIFS(Effektmåling!$J$178:$J$182,Effektmåling!$D$178:$D$182,$B74,$AH$120:$AH$124,BF$3))&lt;&gt;0,(SUMIFS(Effektmåling!$J$178:$J$182,Effektmåling!$D$178:$D$182,$B74,$AH$120:$AH$124,BF$3))*-AY74,"")</f>
        <v/>
      </c>
      <c r="BH74" s="29" t="str">
        <f>IF((SUMIFS(Effektmåling!$J$163:$J$167,Effektmåling!$D$163:$D$167,$B74,$AO$120:$AO$124,BH$3))&lt;&gt;0,(SUMIFS(Effektmåling!$J$163:$J$167,Effektmåling!$D$163:$D$167,$B74,$AO$120:$AO$124,BH$3))*-AT74,"")</f>
        <v/>
      </c>
      <c r="BI74" s="29" t="str">
        <f>IF((SUMIFS(Effektmåling!$J$163:$J$167,Effektmåling!$D$163:$D$167,$B74,$AO$120:$AO$124,BI$3))&lt;&gt;0,(SUMIFS(Effektmåling!$J$163:$J$167,Effektmåling!$D$163:$D$167,$B74,$AO$120:$AO$124,BI$3))*-AU74,"")</f>
        <v/>
      </c>
      <c r="BJ74" s="29" t="str">
        <f>IF((SUMIFS(Effektmåling!$J$163:$J$167,Effektmåling!$D$163:$D$167,$B74,$AO$120:$AO$124,BJ$3))&lt;&gt;0,(SUMIFS(Effektmåling!$J$163:$J$167,Effektmåling!$D$163:$D$167,$B74,$AO$120:$AO$124,BJ$3))*-AV74,"")</f>
        <v/>
      </c>
      <c r="BK74" s="29" t="str">
        <f>IF((SUMIFS(Effektmåling!$J$163:$J$167,Effektmåling!$D$163:$D$167,$B74,$AO$120:$AO$124,BK$3))&lt;&gt;0,(SUMIFS(Effektmåling!$J$163:$J$167,Effektmåling!$D$163:$D$167,$B74,$AO$120:$AO$124,BK$3))*-AW74,"")</f>
        <v/>
      </c>
      <c r="BL74" s="29" t="str">
        <f>IF((SUMIFS(Effektmåling!$J$163:$J$167,Effektmåling!$D$163:$D$167,$B74,$AO$120:$AO$124,BL$3))&lt;&gt;0,(SUMIFS(Effektmåling!$J$163:$J$167,Effektmåling!$D$163:$D$167,$B74,$AO$120:$AO$124,BL$3))*-AX74,"")</f>
        <v/>
      </c>
      <c r="BM74" s="29" t="str">
        <f>IF((SUMIFS(Effektmåling!$J$163:$J$167,Effektmåling!$D$163:$D$167,$B74,$AO$120:$AO$124,BM$3))&lt;&gt;0,(SUMIFS(Effektmåling!$J$163:$J$167,Effektmåling!$D$163:$D$167,$B74,$AO$120:$AO$124,BM$3))*-AY74,"")</f>
        <v/>
      </c>
    </row>
    <row r="75" spans="1:65" x14ac:dyDescent="0.15">
      <c r="A75" s="19">
        <f t="shared" si="75"/>
        <v>11</v>
      </c>
      <c r="B75" s="19" t="s">
        <v>257</v>
      </c>
      <c r="C75" s="18" t="s">
        <v>245</v>
      </c>
      <c r="D75" s="18" t="s">
        <v>245</v>
      </c>
      <c r="E75" s="18" t="s">
        <v>245</v>
      </c>
      <c r="F75" s="18" t="s">
        <v>245</v>
      </c>
      <c r="G75" s="18" t="s">
        <v>245</v>
      </c>
      <c r="H75" s="18" t="s">
        <v>245</v>
      </c>
      <c r="I75" s="18" t="s">
        <v>245</v>
      </c>
      <c r="J75" s="18" t="s">
        <v>245</v>
      </c>
      <c r="K75" s="18" t="s">
        <v>245</v>
      </c>
      <c r="L75" s="18" t="s">
        <v>245</v>
      </c>
      <c r="M75" s="18" t="s">
        <v>245</v>
      </c>
      <c r="O75" s="149"/>
      <c r="P75" s="480"/>
      <c r="Q75" s="480"/>
      <c r="R75" s="480"/>
      <c r="S75" s="480"/>
      <c r="T75" s="480"/>
      <c r="AE75" s="19">
        <f t="shared" si="76"/>
        <v>9</v>
      </c>
      <c r="AF75" s="45"/>
      <c r="AG75" s="45"/>
      <c r="AH75" s="45"/>
      <c r="AI75" s="45"/>
      <c r="AJ75" s="45"/>
      <c r="AK75" s="45"/>
      <c r="AM75" s="45"/>
      <c r="AN75" s="45"/>
      <c r="AO75" s="45"/>
      <c r="AP75" s="45"/>
      <c r="AQ75" s="45"/>
      <c r="AR75" s="45"/>
      <c r="AT75" s="47"/>
      <c r="AU75" s="149"/>
      <c r="AV75" s="51"/>
      <c r="AW75" s="149"/>
      <c r="AX75" s="51"/>
      <c r="AY75" s="51"/>
      <c r="BA75" s="45"/>
      <c r="BB75" s="45"/>
      <c r="BC75" s="45"/>
      <c r="BD75" s="45"/>
      <c r="BE75" s="45"/>
      <c r="BF75" s="45"/>
      <c r="BH75" s="45"/>
      <c r="BI75" s="45"/>
      <c r="BJ75" s="45"/>
      <c r="BK75" s="45"/>
      <c r="BL75" s="45"/>
      <c r="BM75" s="45"/>
    </row>
    <row r="76" spans="1:65" x14ac:dyDescent="0.15">
      <c r="A76" s="19">
        <f t="shared" si="75"/>
        <v>12</v>
      </c>
      <c r="B76" s="19" t="s">
        <v>258</v>
      </c>
      <c r="C76" s="19">
        <v>1</v>
      </c>
      <c r="D76" s="57">
        <v>0</v>
      </c>
      <c r="E76" s="57">
        <v>0</v>
      </c>
      <c r="F76" s="24">
        <v>-0.25800000000000001</v>
      </c>
      <c r="G76" s="172">
        <v>-0.87080000000000002</v>
      </c>
      <c r="H76" s="100">
        <f>-D16</f>
        <v>-1.7416</v>
      </c>
      <c r="I76" s="57">
        <v>0</v>
      </c>
      <c r="J76" s="57">
        <v>0</v>
      </c>
      <c r="K76" s="115">
        <v>-3.2057219779770318</v>
      </c>
      <c r="L76" s="74">
        <v>0</v>
      </c>
      <c r="M76" s="74">
        <v>0</v>
      </c>
      <c r="O76" s="40">
        <f>F76-E76</f>
        <v>-0.25800000000000001</v>
      </c>
      <c r="P76" s="480">
        <f>(IF(Effektmåling!$Q$241="Ja",-0.3*'DB materialer'!D16+G76,G76))-E76</f>
        <v>-0.87080000000000002</v>
      </c>
      <c r="Q76" s="480">
        <f>(IF(Effektmåling!$Q$241="Ja",1.3*H76,H76))-E76</f>
        <v>-1.7416</v>
      </c>
      <c r="R76" s="480">
        <f>(IF(Effektmåling!$Q$241="Ja",-0.3*'DB materialer'!D16+G76,G76))-F76</f>
        <v>-0.61280000000000001</v>
      </c>
      <c r="S76" s="480">
        <f>(IF(Effektmåling!$Q$241="Ja",1.3*H76,H76))-F76</f>
        <v>-1.4836</v>
      </c>
      <c r="T76" s="480">
        <f>(IF(Effektmåling!$Q$241="Ja",1.3*H76,H76))-(IF(Effektmåling!$Q$241="Ja",-0.3*'DB materialer'!D16+G76,G76))</f>
        <v>-0.87080000000000002</v>
      </c>
      <c r="AE76" s="19">
        <f t="shared" si="76"/>
        <v>10</v>
      </c>
      <c r="AF76" s="29" t="str">
        <f>IF((SUMIFS(Effektmåling!$J$178:$J$182,Effektmåling!$D$178:$D$182,$B76,$AH$120:$AH$124,'DB materialer'!AF$3))&lt;&gt;0,(SUMIFS(Effektmåling!$J$178:$J$182,Effektmåling!$D$178:$D$182,$B76,$AH$120:$AH$124,'DB materialer'!AF$3))*-O76,"")</f>
        <v/>
      </c>
      <c r="AG76" s="29" t="str">
        <f>IF((SUMIFS(Effektmåling!$J$178:$J$182,Effektmåling!$D$178:$D$182,$B76,$AH$120:$AH$124,'DB materialer'!AG$3))&lt;&gt;0,(SUMIFS(Effektmåling!$J$178:$J$182,Effektmåling!$D$178:$D$182,$B76,$AH$120:$AH$124,'DB materialer'!AG$3))*-P76,"")</f>
        <v/>
      </c>
      <c r="AH76" s="29" t="str">
        <f>IF((SUMIFS(Effektmåling!$J$178:$J$182,Effektmåling!$D$178:$D$182,$B76,$AH$120:$AH$124,'DB materialer'!AH$3))&lt;&gt;0,(SUMIFS(Effektmåling!$J$178:$J$182,Effektmåling!$D$178:$D$182,$B76,$AH$120:$AH$124,'DB materialer'!AH$3))*-Q76,"")</f>
        <v/>
      </c>
      <c r="AI76" s="29" t="str">
        <f>IF((SUMIFS(Effektmåling!$J$178:$J$182,Effektmåling!$D$178:$D$182,$B76,$AH$120:$AH$124,'DB materialer'!AI$3))&lt;&gt;0,(SUMIFS(Effektmåling!$J$178:$J$182,Effektmåling!$D$178:$D$182,$B76,$AH$120:$AH$124,'DB materialer'!AI$3))*-R76,"")</f>
        <v/>
      </c>
      <c r="AJ76" s="29" t="str">
        <f>IF((SUMIFS(Effektmåling!$J$178:$J$182,Effektmåling!$D$178:$D$182,$B76,$AH$120:$AH$124,'DB materialer'!AJ$3))&lt;&gt;0,(SUMIFS(Effektmåling!$J$178:$J$182,Effektmåling!$D$178:$D$182,$B76,$AH$120:$AH$124,'DB materialer'!AJ$3))*-S76,"")</f>
        <v/>
      </c>
      <c r="AK76" s="29" t="str">
        <f>IF((SUMIFS(Effektmåling!$J$178:$J$182,Effektmåling!$D$178:$D$182,$B76,$AH$120:$AH$124,'DB materialer'!AK$3))&lt;&gt;0,(SUMIFS(Effektmåling!$J$178:$J$182,Effektmåling!$D$178:$D$182,$B76,$AH$120:$AH$124,'DB materialer'!AK$3))*-T76,"")</f>
        <v/>
      </c>
      <c r="AM76" s="29" t="str">
        <f>IF((SUMIFS(Effektmåling!$J$163:$J$167,Effektmåling!$D$163:$D$167,$B76,$AO$120:$AO$124,'DB materialer'!AM$3))&lt;&gt;0,(SUMIFS(Effektmåling!$J$163:$J$167,Effektmåling!$D$163:$D$167,$B76,$AO$120:$AO$124,'DB materialer'!AM$3))*(-O76)*($C$122),"")</f>
        <v/>
      </c>
      <c r="AN76" s="29" t="str">
        <f>IF((SUMIFS(Effektmåling!$J$163:$J$167,Effektmåling!$D$163:$D$167,$B76,$AO$120:$AO$124,'DB materialer'!AN$3))&lt;&gt;0,(SUMIFS(Effektmåling!$J$163:$J$167,Effektmåling!$D$163:$D$167,$B76,$AO$120:$AO$124,'DB materialer'!AN$3))*(-P76)*($C$122),"")</f>
        <v/>
      </c>
      <c r="AO76" s="29" t="str">
        <f>IF((SUMIFS(Effektmåling!$J$163:$J$167,Effektmåling!$D$163:$D$167,$B76,$AO$120:$AO$124,'DB materialer'!AO$3))&lt;&gt;0,(SUMIFS(Effektmåling!$J$163:$J$167,Effektmåling!$D$163:$D$167,$B76,$AO$120:$AO$124,'DB materialer'!AO$3))*(-Q76)*($C$122),"")</f>
        <v/>
      </c>
      <c r="AP76" s="29" t="str">
        <f>IF((SUMIFS(Effektmåling!$J$163:$J$167,Effektmåling!$D$163:$D$167,$B76,$AO$120:$AO$124,'DB materialer'!AP$3))&lt;&gt;0,(SUMIFS(Effektmåling!$J$163:$J$167,Effektmåling!$D$163:$D$167,$B76,$AO$120:$AO$124,'DB materialer'!AP$3))*(-R76)*($C$122),"")</f>
        <v/>
      </c>
      <c r="AQ76" s="29" t="str">
        <f>IF((SUMIFS(Effektmåling!$J$163:$J$167,Effektmåling!$D$163:$D$167,$B76,$AO$120:$AO$124,'DB materialer'!AQ$3))&lt;&gt;0,(SUMIFS(Effektmåling!$J$163:$J$167,Effektmåling!$D$163:$D$167,$B76,$AO$120:$AO$124,'DB materialer'!AQ$3))*(-S76)*($C$122),"")</f>
        <v/>
      </c>
      <c r="AR76" s="29" t="str">
        <f>IF((SUMIFS(Effektmåling!$J$163:$J$167,Effektmåling!$D$163:$D$167,$B76,$AO$120:$AO$124,'DB materialer'!AR$3))&lt;&gt;0,(SUMIFS(Effektmåling!$J$163:$J$167,Effektmåling!$D$163:$D$167,$B76,$AO$120:$AO$124,'DB materialer'!AR$3))*(-T76)*($C$122),"")</f>
        <v/>
      </c>
      <c r="AT76" s="30">
        <f>IF((K76-J76)=0,1E-30,K76-J76)</f>
        <v>-3.2057219779770318</v>
      </c>
      <c r="AU76" s="40">
        <f>IF((L76-J76)=0,1E-30,L76-J76)</f>
        <v>1.0000000000000001E-30</v>
      </c>
      <c r="AV76" s="41">
        <f>IF((M76-J76)=0,1E-30,M76-J76)</f>
        <v>1.0000000000000001E-30</v>
      </c>
      <c r="AW76" s="40">
        <f>IF((L76-K76)=0,1E-30,L76-K76)</f>
        <v>3.2057219779770318</v>
      </c>
      <c r="AX76" s="41">
        <f>IF((M76-K76)=0,1E-30,M76-K76)</f>
        <v>3.2057219779770318</v>
      </c>
      <c r="AY76" s="41">
        <f>IF((M76-L76)=0,1E-30,M76-L76)</f>
        <v>1.0000000000000001E-30</v>
      </c>
      <c r="BA76" s="29" t="str">
        <f>IF((SUMIFS(Effektmåling!$J$178:$J$182,Effektmåling!$D$178:$D$182,$B76,$AH$120:$AH$124,BA$3))&lt;&gt;0,(SUMIFS(Effektmåling!$J$178:$J$182,Effektmåling!$D$178:$D$182,$B76,$AH$120:$AH$124,BA$3))*-AT76,"")</f>
        <v/>
      </c>
      <c r="BB76" s="29" t="str">
        <f>IF((SUMIFS(Effektmåling!$J$178:$J$182,Effektmåling!$D$178:$D$182,$B76,$AH$120:$AH$124,BB$3))&lt;&gt;0,(SUMIFS(Effektmåling!$J$178:$J$182,Effektmåling!$D$178:$D$182,$B76,$AH$120:$AH$124,BB$3))*-AU76,"")</f>
        <v/>
      </c>
      <c r="BC76" s="29" t="str">
        <f>IF((SUMIFS(Effektmåling!$J$178:$J$182,Effektmåling!$D$178:$D$182,$B76,$AH$120:$AH$124,BC$3))&lt;&gt;0,(SUMIFS(Effektmåling!$J$178:$J$182,Effektmåling!$D$178:$D$182,$B76,$AH$120:$AH$124,BC$3))*-AV76,"")</f>
        <v/>
      </c>
      <c r="BD76" s="29" t="str">
        <f>IF((SUMIFS(Effektmåling!$J$178:$J$182,Effektmåling!$D$178:$D$182,$B76,$AH$120:$AH$124,BD$3))&lt;&gt;0,(SUMIFS(Effektmåling!$J$178:$J$182,Effektmåling!$D$178:$D$182,$B76,$AH$120:$AH$124,BD$3))*-AW76,"")</f>
        <v/>
      </c>
      <c r="BE76" s="29" t="str">
        <f>IF((SUMIFS(Effektmåling!$J$178:$J$182,Effektmåling!$D$178:$D$182,$B76,$AH$120:$AH$124,BE$3))&lt;&gt;0,(SUMIFS(Effektmåling!$J$178:$J$182,Effektmåling!$D$178:$D$182,$B76,$AH$120:$AH$124,BE$3))*-AX76,"")</f>
        <v/>
      </c>
      <c r="BF76" s="29" t="str">
        <f>IF((SUMIFS(Effektmåling!$J$178:$J$182,Effektmåling!$D$178:$D$182,$B76,$AH$120:$AH$124,BF$3))&lt;&gt;0,(SUMIFS(Effektmåling!$J$178:$J$182,Effektmåling!$D$178:$D$182,$B76,$AH$120:$AH$124,BF$3))*-AY76,"")</f>
        <v/>
      </c>
      <c r="BH76" s="29" t="str">
        <f>IF((SUMIFS(Effektmåling!$J$163:$J$167,Effektmåling!$D$163:$D$167,$B76,$AO$120:$AO$124,BH$3))&lt;&gt;0,(SUMIFS(Effektmåling!$J$163:$J$167,Effektmåling!$D$163:$D$167,$B76,$AO$120:$AO$124,BH$3))*-AT76,"")</f>
        <v/>
      </c>
      <c r="BI76" s="29" t="str">
        <f>IF((SUMIFS(Effektmåling!$J$163:$J$167,Effektmåling!$D$163:$D$167,$B76,$AO$120:$AO$124,BI$3))&lt;&gt;0,(SUMIFS(Effektmåling!$J$163:$J$167,Effektmåling!$D$163:$D$167,$B76,$AO$120:$AO$124,BI$3))*-AU76,"")</f>
        <v/>
      </c>
      <c r="BJ76" s="29" t="str">
        <f>IF((SUMIFS(Effektmåling!$J$163:$J$167,Effektmåling!$D$163:$D$167,$B76,$AO$120:$AO$124,BJ$3))&lt;&gt;0,(SUMIFS(Effektmåling!$J$163:$J$167,Effektmåling!$D$163:$D$167,$B76,$AO$120:$AO$124,BJ$3))*-AV76,"")</f>
        <v/>
      </c>
      <c r="BK76" s="29" t="str">
        <f>IF((SUMIFS(Effektmåling!$J$163:$J$167,Effektmåling!$D$163:$D$167,$B76,$AO$120:$AO$124,BK$3))&lt;&gt;0,(SUMIFS(Effektmåling!$J$163:$J$167,Effektmåling!$D$163:$D$167,$B76,$AO$120:$AO$124,BK$3))*-AW76,"")</f>
        <v/>
      </c>
      <c r="BL76" s="29" t="str">
        <f>IF((SUMIFS(Effektmåling!$J$163:$J$167,Effektmåling!$D$163:$D$167,$B76,$AO$120:$AO$124,BL$3))&lt;&gt;0,(SUMIFS(Effektmåling!$J$163:$J$167,Effektmåling!$D$163:$D$167,$B76,$AO$120:$AO$124,BL$3))*-AX76,"")</f>
        <v/>
      </c>
      <c r="BM76" s="29" t="str">
        <f>IF((SUMIFS(Effektmåling!$J$163:$J$167,Effektmåling!$D$163:$D$167,$B76,$AO$120:$AO$124,BM$3))&lt;&gt;0,(SUMIFS(Effektmåling!$J$163:$J$167,Effektmåling!$D$163:$D$167,$B76,$AO$120:$AO$124,BM$3))*-AY76,"")</f>
        <v/>
      </c>
    </row>
    <row r="77" spans="1:65" x14ac:dyDescent="0.15">
      <c r="A77" s="19">
        <f t="shared" si="75"/>
        <v>13</v>
      </c>
      <c r="B77" s="19" t="s">
        <v>259</v>
      </c>
      <c r="C77" s="19">
        <v>1</v>
      </c>
      <c r="D77" s="57">
        <v>0</v>
      </c>
      <c r="E77" s="57">
        <v>0</v>
      </c>
      <c r="F77" s="24">
        <v>-0.25800000000000001</v>
      </c>
      <c r="G77" s="172">
        <v>-0.78100000000000003</v>
      </c>
      <c r="H77" s="100">
        <f>-D17</f>
        <v>-1.5620000000000001</v>
      </c>
      <c r="I77" s="57">
        <v>0</v>
      </c>
      <c r="J77" s="57">
        <v>0</v>
      </c>
      <c r="K77" s="115">
        <v>-3.2057219779770318</v>
      </c>
      <c r="L77" s="74">
        <v>0</v>
      </c>
      <c r="M77" s="74">
        <v>0</v>
      </c>
      <c r="O77" s="40">
        <f>F77-E77</f>
        <v>-0.25800000000000001</v>
      </c>
      <c r="P77" s="480">
        <f>(IF(Effektmåling!$Q$241="Ja",-0.3*'DB materialer'!D17+G77,G77))-E77</f>
        <v>-0.78100000000000003</v>
      </c>
      <c r="Q77" s="480">
        <f>(IF(Effektmåling!$Q$241="Ja",1.3*H77,H77))-E77</f>
        <v>-1.5620000000000001</v>
      </c>
      <c r="R77" s="480">
        <f>(IF(Effektmåling!$Q$241="Ja",-0.3*'DB materialer'!D17+G77,G77))-F77</f>
        <v>-0.52300000000000002</v>
      </c>
      <c r="S77" s="480">
        <f>(IF(Effektmåling!$Q$241="Ja",1.3*H77,H77))-F77</f>
        <v>-1.304</v>
      </c>
      <c r="T77" s="480">
        <f>(IF(Effektmåling!$Q$241="Ja",1.3*H77,H77))-(IF(Effektmåling!$Q$241="Ja",-0.3*'DB materialer'!D17+G77,G77))</f>
        <v>-0.78100000000000003</v>
      </c>
      <c r="AE77" s="19">
        <f t="shared" si="76"/>
        <v>11</v>
      </c>
      <c r="AF77" s="29" t="str">
        <f>IF((SUMIFS(Effektmåling!$J$178:$J$182,Effektmåling!$D$178:$D$182,$B77,$AH$120:$AH$124,'DB materialer'!AF$3))&lt;&gt;0,(SUMIFS(Effektmåling!$J$178:$J$182,Effektmåling!$D$178:$D$182,$B77,$AH$120:$AH$124,'DB materialer'!AF$3))*-O77,"")</f>
        <v/>
      </c>
      <c r="AG77" s="29" t="str">
        <f>IF((SUMIFS(Effektmåling!$J$178:$J$182,Effektmåling!$D$178:$D$182,$B77,$AH$120:$AH$124,'DB materialer'!AG$3))&lt;&gt;0,(SUMIFS(Effektmåling!$J$178:$J$182,Effektmåling!$D$178:$D$182,$B77,$AH$120:$AH$124,'DB materialer'!AG$3))*-P77,"")</f>
        <v/>
      </c>
      <c r="AH77" s="29" t="str">
        <f>IF((SUMIFS(Effektmåling!$J$178:$J$182,Effektmåling!$D$178:$D$182,$B77,$AH$120:$AH$124,'DB materialer'!AH$3))&lt;&gt;0,(SUMIFS(Effektmåling!$J$178:$J$182,Effektmåling!$D$178:$D$182,$B77,$AH$120:$AH$124,'DB materialer'!AH$3))*-Q77,"")</f>
        <v/>
      </c>
      <c r="AI77" s="29" t="str">
        <f>IF((SUMIFS(Effektmåling!$J$178:$J$182,Effektmåling!$D$178:$D$182,$B77,$AH$120:$AH$124,'DB materialer'!AI$3))&lt;&gt;0,(SUMIFS(Effektmåling!$J$178:$J$182,Effektmåling!$D$178:$D$182,$B77,$AH$120:$AH$124,'DB materialer'!AI$3))*-R77,"")</f>
        <v/>
      </c>
      <c r="AJ77" s="29" t="str">
        <f>IF((SUMIFS(Effektmåling!$J$178:$J$182,Effektmåling!$D$178:$D$182,$B77,$AH$120:$AH$124,'DB materialer'!AJ$3))&lt;&gt;0,(SUMIFS(Effektmåling!$J$178:$J$182,Effektmåling!$D$178:$D$182,$B77,$AH$120:$AH$124,'DB materialer'!AJ$3))*-S77,"")</f>
        <v/>
      </c>
      <c r="AK77" s="29" t="str">
        <f>IF((SUMIFS(Effektmåling!$J$178:$J$182,Effektmåling!$D$178:$D$182,$B77,$AH$120:$AH$124,'DB materialer'!AK$3))&lt;&gt;0,(SUMIFS(Effektmåling!$J$178:$J$182,Effektmåling!$D$178:$D$182,$B77,$AH$120:$AH$124,'DB materialer'!AK$3))*-T77,"")</f>
        <v/>
      </c>
      <c r="AM77" s="29" t="str">
        <f>IF((SUMIFS(Effektmåling!$J$163:$J$167,Effektmåling!$D$163:$D$167,$B77,$AO$120:$AO$124,'DB materialer'!AM$3))&lt;&gt;0,(SUMIFS(Effektmåling!$J$163:$J$167,Effektmåling!$D$163:$D$167,$B77,$AO$120:$AO$124,'DB materialer'!AM$3))*(-O77)*($C$122),"")</f>
        <v/>
      </c>
      <c r="AN77" s="29" t="str">
        <f>IF((SUMIFS(Effektmåling!$J$163:$J$167,Effektmåling!$D$163:$D$167,$B77,$AO$120:$AO$124,'DB materialer'!AN$3))&lt;&gt;0,(SUMIFS(Effektmåling!$J$163:$J$167,Effektmåling!$D$163:$D$167,$B77,$AO$120:$AO$124,'DB materialer'!AN$3))*(-P77)*($C$122),"")</f>
        <v/>
      </c>
      <c r="AO77" s="29" t="str">
        <f>IF((SUMIFS(Effektmåling!$J$163:$J$167,Effektmåling!$D$163:$D$167,$B77,$AO$120:$AO$124,'DB materialer'!AO$3))&lt;&gt;0,(SUMIFS(Effektmåling!$J$163:$J$167,Effektmåling!$D$163:$D$167,$B77,$AO$120:$AO$124,'DB materialer'!AO$3))*(-Q77)*($C$122),"")</f>
        <v/>
      </c>
      <c r="AP77" s="29" t="str">
        <f>IF((SUMIFS(Effektmåling!$J$163:$J$167,Effektmåling!$D$163:$D$167,$B77,$AO$120:$AO$124,'DB materialer'!AP$3))&lt;&gt;0,(SUMIFS(Effektmåling!$J$163:$J$167,Effektmåling!$D$163:$D$167,$B77,$AO$120:$AO$124,'DB materialer'!AP$3))*(-R77)*($C$122),"")</f>
        <v/>
      </c>
      <c r="AQ77" s="29" t="str">
        <f>IF((SUMIFS(Effektmåling!$J$163:$J$167,Effektmåling!$D$163:$D$167,$B77,$AO$120:$AO$124,'DB materialer'!AQ$3))&lt;&gt;0,(SUMIFS(Effektmåling!$J$163:$J$167,Effektmåling!$D$163:$D$167,$B77,$AO$120:$AO$124,'DB materialer'!AQ$3))*(-S77)*($C$122),"")</f>
        <v/>
      </c>
      <c r="AR77" s="29" t="str">
        <f>IF((SUMIFS(Effektmåling!$J$163:$J$167,Effektmåling!$D$163:$D$167,$B77,$AO$120:$AO$124,'DB materialer'!AR$3))&lt;&gt;0,(SUMIFS(Effektmåling!$J$163:$J$167,Effektmåling!$D$163:$D$167,$B77,$AO$120:$AO$124,'DB materialer'!AR$3))*(-T77)*($C$122),"")</f>
        <v/>
      </c>
      <c r="AT77" s="30">
        <f>IF((K77-J77)=0,1E-30,K77-J77)</f>
        <v>-3.2057219779770318</v>
      </c>
      <c r="AU77" s="40">
        <f>IF((L77-J77)=0,1E-30,L77-J77)</f>
        <v>1.0000000000000001E-30</v>
      </c>
      <c r="AV77" s="41">
        <f>IF((M77-J77)=0,1E-30,M77-J77)</f>
        <v>1.0000000000000001E-30</v>
      </c>
      <c r="AW77" s="40">
        <f>IF((L77-K77)=0,1E-30,L77-K77)</f>
        <v>3.2057219779770318</v>
      </c>
      <c r="AX77" s="41">
        <f>IF((M77-K77)=0,1E-30,M77-K77)</f>
        <v>3.2057219779770318</v>
      </c>
      <c r="AY77" s="41">
        <f>IF((M77-L77)=0,1E-30,M77-L77)</f>
        <v>1.0000000000000001E-30</v>
      </c>
      <c r="BA77" s="29" t="str">
        <f>IF((SUMIFS(Effektmåling!$J$178:$J$182,Effektmåling!$D$178:$D$182,$B77,$AH$120:$AH$124,BA$3))&lt;&gt;0,(SUMIFS(Effektmåling!$J$178:$J$182,Effektmåling!$D$178:$D$182,$B77,$AH$120:$AH$124,BA$3))*-AT77,"")</f>
        <v/>
      </c>
      <c r="BB77" s="29" t="str">
        <f>IF((SUMIFS(Effektmåling!$J$178:$J$182,Effektmåling!$D$178:$D$182,$B77,$AH$120:$AH$124,BB$3))&lt;&gt;0,(SUMIFS(Effektmåling!$J$178:$J$182,Effektmåling!$D$178:$D$182,$B77,$AH$120:$AH$124,BB$3))*-AU77,"")</f>
        <v/>
      </c>
      <c r="BC77" s="29" t="str">
        <f>IF((SUMIFS(Effektmåling!$J$178:$J$182,Effektmåling!$D$178:$D$182,$B77,$AH$120:$AH$124,BC$3))&lt;&gt;0,(SUMIFS(Effektmåling!$J$178:$J$182,Effektmåling!$D$178:$D$182,$B77,$AH$120:$AH$124,BC$3))*-AV77,"")</f>
        <v/>
      </c>
      <c r="BD77" s="29" t="str">
        <f>IF((SUMIFS(Effektmåling!$J$178:$J$182,Effektmåling!$D$178:$D$182,$B77,$AH$120:$AH$124,BD$3))&lt;&gt;0,(SUMIFS(Effektmåling!$J$178:$J$182,Effektmåling!$D$178:$D$182,$B77,$AH$120:$AH$124,BD$3))*-AW77,"")</f>
        <v/>
      </c>
      <c r="BE77" s="29" t="str">
        <f>IF((SUMIFS(Effektmåling!$J$178:$J$182,Effektmåling!$D$178:$D$182,$B77,$AH$120:$AH$124,BE$3))&lt;&gt;0,(SUMIFS(Effektmåling!$J$178:$J$182,Effektmåling!$D$178:$D$182,$B77,$AH$120:$AH$124,BE$3))*-AX77,"")</f>
        <v/>
      </c>
      <c r="BF77" s="29" t="str">
        <f>IF((SUMIFS(Effektmåling!$J$178:$J$182,Effektmåling!$D$178:$D$182,$B77,$AH$120:$AH$124,BF$3))&lt;&gt;0,(SUMIFS(Effektmåling!$J$178:$J$182,Effektmåling!$D$178:$D$182,$B77,$AH$120:$AH$124,BF$3))*-AY77,"")</f>
        <v/>
      </c>
      <c r="BH77" s="29" t="str">
        <f>IF((SUMIFS(Effektmåling!$J$163:$J$167,Effektmåling!$D$163:$D$167,$B77,$AO$120:$AO$124,BH$3))&lt;&gt;0,(SUMIFS(Effektmåling!$J$163:$J$167,Effektmåling!$D$163:$D$167,$B77,$AO$120:$AO$124,BH$3))*-AT77,"")</f>
        <v/>
      </c>
      <c r="BI77" s="29" t="str">
        <f>IF((SUMIFS(Effektmåling!$J$163:$J$167,Effektmåling!$D$163:$D$167,$B77,$AO$120:$AO$124,BI$3))&lt;&gt;0,(SUMIFS(Effektmåling!$J$163:$J$167,Effektmåling!$D$163:$D$167,$B77,$AO$120:$AO$124,BI$3))*-AU77,"")</f>
        <v/>
      </c>
      <c r="BJ77" s="29" t="str">
        <f>IF((SUMIFS(Effektmåling!$J$163:$J$167,Effektmåling!$D$163:$D$167,$B77,$AO$120:$AO$124,BJ$3))&lt;&gt;0,(SUMIFS(Effektmåling!$J$163:$J$167,Effektmåling!$D$163:$D$167,$B77,$AO$120:$AO$124,BJ$3))*-AV77,"")</f>
        <v/>
      </c>
      <c r="BK77" s="29" t="str">
        <f>IF((SUMIFS(Effektmåling!$J$163:$J$167,Effektmåling!$D$163:$D$167,$B77,$AO$120:$AO$124,BK$3))&lt;&gt;0,(SUMIFS(Effektmåling!$J$163:$J$167,Effektmåling!$D$163:$D$167,$B77,$AO$120:$AO$124,BK$3))*-AW77,"")</f>
        <v/>
      </c>
      <c r="BL77" s="29" t="str">
        <f>IF((SUMIFS(Effektmåling!$J$163:$J$167,Effektmåling!$D$163:$D$167,$B77,$AO$120:$AO$124,BL$3))&lt;&gt;0,(SUMIFS(Effektmåling!$J$163:$J$167,Effektmåling!$D$163:$D$167,$B77,$AO$120:$AO$124,BL$3))*-AX77,"")</f>
        <v/>
      </c>
      <c r="BM77" s="29" t="str">
        <f>IF((SUMIFS(Effektmåling!$J$163:$J$167,Effektmåling!$D$163:$D$167,$B77,$AO$120:$AO$124,BM$3))&lt;&gt;0,(SUMIFS(Effektmåling!$J$163:$J$167,Effektmåling!$D$163:$D$167,$B77,$AO$120:$AO$124,BM$3))*-AY77,"")</f>
        <v/>
      </c>
    </row>
    <row r="78" spans="1:65" x14ac:dyDescent="0.15">
      <c r="A78" s="19">
        <f t="shared" si="75"/>
        <v>14</v>
      </c>
      <c r="B78" s="19" t="s">
        <v>260</v>
      </c>
      <c r="C78" s="19">
        <v>1</v>
      </c>
      <c r="D78" s="57">
        <v>0</v>
      </c>
      <c r="E78" s="57">
        <v>0</v>
      </c>
      <c r="F78" s="105">
        <v>-0.25800000000000001</v>
      </c>
      <c r="G78" s="111">
        <v>-2.4740000000000002</v>
      </c>
      <c r="H78" s="22">
        <f>-D18</f>
        <v>-2.6339999999999999</v>
      </c>
      <c r="I78" s="57">
        <v>0</v>
      </c>
      <c r="J78" s="57">
        <v>0</v>
      </c>
      <c r="K78" s="115">
        <v>-3.2057219779770318</v>
      </c>
      <c r="L78" s="74">
        <v>0</v>
      </c>
      <c r="M78" s="74">
        <v>0</v>
      </c>
      <c r="O78" s="40">
        <f>F78-E78</f>
        <v>-0.25800000000000001</v>
      </c>
      <c r="P78" s="480">
        <f>(IF(Effektmåling!$Q$241="Ja",-0.3*'DB materialer'!D18+G78,G78))-E78</f>
        <v>-2.4740000000000002</v>
      </c>
      <c r="Q78" s="480">
        <f>(IF(Effektmåling!$Q$241="Ja",1.3*H78,H78))-E78</f>
        <v>-2.6339999999999999</v>
      </c>
      <c r="R78" s="480">
        <f>(IF(Effektmåling!$Q$241="Ja",-0.3*'DB materialer'!D18+G78,G78))-F78</f>
        <v>-2.2160000000000002</v>
      </c>
      <c r="S78" s="480">
        <f>(IF(Effektmåling!$Q$241="Ja",1.3*H78,H78))-F78</f>
        <v>-2.3759999999999999</v>
      </c>
      <c r="T78" s="480">
        <f>(IF(Effektmåling!$Q$241="Ja",1.3*H78,H78))-(IF(Effektmåling!$Q$241="Ja",-0.3*'DB materialer'!D18+G78,G78))</f>
        <v>-0.1599999999999997</v>
      </c>
      <c r="AE78" s="19">
        <f t="shared" si="76"/>
        <v>12</v>
      </c>
      <c r="AF78" s="29" t="str">
        <f>IF((SUMIFS(Effektmåling!$J$178:$J$182,Effektmåling!$D$178:$D$182,$B78,$AH$120:$AH$124,'DB materialer'!AF$3))&lt;&gt;0,(SUMIFS(Effektmåling!$J$178:$J$182,Effektmåling!$D$178:$D$182,$B78,$AH$120:$AH$124,'DB materialer'!AF$3))*-O78,"")</f>
        <v/>
      </c>
      <c r="AG78" s="29" t="str">
        <f>IF((SUMIFS(Effektmåling!$J$178:$J$182,Effektmåling!$D$178:$D$182,$B78,$AH$120:$AH$124,'DB materialer'!AG$3))&lt;&gt;0,(SUMIFS(Effektmåling!$J$178:$J$182,Effektmåling!$D$178:$D$182,$B78,$AH$120:$AH$124,'DB materialer'!AG$3))*-P78,"")</f>
        <v/>
      </c>
      <c r="AH78" s="29" t="str">
        <f>IF((SUMIFS(Effektmåling!$J$178:$J$182,Effektmåling!$D$178:$D$182,$B78,$AH$120:$AH$124,'DB materialer'!AH$3))&lt;&gt;0,(SUMIFS(Effektmåling!$J$178:$J$182,Effektmåling!$D$178:$D$182,$B78,$AH$120:$AH$124,'DB materialer'!AH$3))*-Q78,"")</f>
        <v/>
      </c>
      <c r="AI78" s="29" t="str">
        <f>IF((SUMIFS(Effektmåling!$J$178:$J$182,Effektmåling!$D$178:$D$182,$B78,$AH$120:$AH$124,'DB materialer'!AI$3))&lt;&gt;0,(SUMIFS(Effektmåling!$J$178:$J$182,Effektmåling!$D$178:$D$182,$B78,$AH$120:$AH$124,'DB materialer'!AI$3))*-R78,"")</f>
        <v/>
      </c>
      <c r="AJ78" s="29" t="str">
        <f>IF((SUMIFS(Effektmåling!$J$178:$J$182,Effektmåling!$D$178:$D$182,$B78,$AH$120:$AH$124,'DB materialer'!AJ$3))&lt;&gt;0,(SUMIFS(Effektmåling!$J$178:$J$182,Effektmåling!$D$178:$D$182,$B78,$AH$120:$AH$124,'DB materialer'!AJ$3))*-S78,"")</f>
        <v/>
      </c>
      <c r="AK78" s="29" t="str">
        <f>IF((SUMIFS(Effektmåling!$J$178:$J$182,Effektmåling!$D$178:$D$182,$B78,$AH$120:$AH$124,'DB materialer'!AK$3))&lt;&gt;0,(SUMIFS(Effektmåling!$J$178:$J$182,Effektmåling!$D$178:$D$182,$B78,$AH$120:$AH$124,'DB materialer'!AK$3))*-T78,"")</f>
        <v/>
      </c>
      <c r="AM78" s="29" t="str">
        <f>IF((SUMIFS(Effektmåling!$J$163:$J$167,Effektmåling!$D$163:$D$167,$B78,$AO$120:$AO$124,'DB materialer'!AM$3))&lt;&gt;0,(SUMIFS(Effektmåling!$J$163:$J$167,Effektmåling!$D$163:$D$167,$B78,$AO$120:$AO$124,'DB materialer'!AM$3))*(-O78)*($C$122),"")</f>
        <v/>
      </c>
      <c r="AN78" s="29" t="str">
        <f>IF((SUMIFS(Effektmåling!$J$163:$J$167,Effektmåling!$D$163:$D$167,$B78,$AO$120:$AO$124,'DB materialer'!AN$3))&lt;&gt;0,(SUMIFS(Effektmåling!$J$163:$J$167,Effektmåling!$D$163:$D$167,$B78,$AO$120:$AO$124,'DB materialer'!AN$3))*(-P78)*($C$122),"")</f>
        <v/>
      </c>
      <c r="AO78" s="29" t="str">
        <f>IF((SUMIFS(Effektmåling!$J$163:$J$167,Effektmåling!$D$163:$D$167,$B78,$AO$120:$AO$124,'DB materialer'!AO$3))&lt;&gt;0,(SUMIFS(Effektmåling!$J$163:$J$167,Effektmåling!$D$163:$D$167,$B78,$AO$120:$AO$124,'DB materialer'!AO$3))*(-Q78)*($C$122),"")</f>
        <v/>
      </c>
      <c r="AP78" s="29" t="str">
        <f>IF((SUMIFS(Effektmåling!$J$163:$J$167,Effektmåling!$D$163:$D$167,$B78,$AO$120:$AO$124,'DB materialer'!AP$3))&lt;&gt;0,(SUMIFS(Effektmåling!$J$163:$J$167,Effektmåling!$D$163:$D$167,$B78,$AO$120:$AO$124,'DB materialer'!AP$3))*(-R78)*($C$122),"")</f>
        <v/>
      </c>
      <c r="AQ78" s="29" t="str">
        <f>IF((SUMIFS(Effektmåling!$J$163:$J$167,Effektmåling!$D$163:$D$167,$B78,$AO$120:$AO$124,'DB materialer'!AQ$3))&lt;&gt;0,(SUMIFS(Effektmåling!$J$163:$J$167,Effektmåling!$D$163:$D$167,$B78,$AO$120:$AO$124,'DB materialer'!AQ$3))*(-S78)*($C$122),"")</f>
        <v/>
      </c>
      <c r="AR78" s="29" t="str">
        <f>IF((SUMIFS(Effektmåling!$J$163:$J$167,Effektmåling!$D$163:$D$167,$B78,$AO$120:$AO$124,'DB materialer'!AR$3))&lt;&gt;0,(SUMIFS(Effektmåling!$J$163:$J$167,Effektmåling!$D$163:$D$167,$B78,$AO$120:$AO$124,'DB materialer'!AR$3))*(-T78)*($C$122),"")</f>
        <v/>
      </c>
      <c r="AT78" s="30">
        <f>IF((K78-J78)=0,1E-30,K78-J78)</f>
        <v>-3.2057219779770318</v>
      </c>
      <c r="AU78" s="40">
        <f>IF((L78-J78)=0,1E-30,L78-J78)</f>
        <v>1.0000000000000001E-30</v>
      </c>
      <c r="AV78" s="41">
        <f>IF((M78-J78)=0,1E-30,M78-J78)</f>
        <v>1.0000000000000001E-30</v>
      </c>
      <c r="AW78" s="40">
        <f>IF((L78-K78)=0,1E-30,L78-K78)</f>
        <v>3.2057219779770318</v>
      </c>
      <c r="AX78" s="41">
        <f>IF((M78-K78)=0,1E-30,M78-K78)</f>
        <v>3.2057219779770318</v>
      </c>
      <c r="AY78" s="41">
        <f>IF((M78-L78)=0,1E-30,M78-L78)</f>
        <v>1.0000000000000001E-30</v>
      </c>
      <c r="BA78" s="29" t="str">
        <f>IF((SUMIFS(Effektmåling!$J$178:$J$182,Effektmåling!$D$178:$D$182,$B78,$AH$120:$AH$124,BA$3))&lt;&gt;0,(SUMIFS(Effektmåling!$J$178:$J$182,Effektmåling!$D$178:$D$182,$B78,$AH$120:$AH$124,BA$3))*-AT78,"")</f>
        <v/>
      </c>
      <c r="BB78" s="29" t="str">
        <f>IF((SUMIFS(Effektmåling!$J$178:$J$182,Effektmåling!$D$178:$D$182,$B78,$AH$120:$AH$124,BB$3))&lt;&gt;0,(SUMIFS(Effektmåling!$J$178:$J$182,Effektmåling!$D$178:$D$182,$B78,$AH$120:$AH$124,BB$3))*-AU78,"")</f>
        <v/>
      </c>
      <c r="BC78" s="29" t="str">
        <f>IF((SUMIFS(Effektmåling!$J$178:$J$182,Effektmåling!$D$178:$D$182,$B78,$AH$120:$AH$124,BC$3))&lt;&gt;0,(SUMIFS(Effektmåling!$J$178:$J$182,Effektmåling!$D$178:$D$182,$B78,$AH$120:$AH$124,BC$3))*-AV78,"")</f>
        <v/>
      </c>
      <c r="BD78" s="29" t="str">
        <f>IF((SUMIFS(Effektmåling!$J$178:$J$182,Effektmåling!$D$178:$D$182,$B78,$AH$120:$AH$124,BD$3))&lt;&gt;0,(SUMIFS(Effektmåling!$J$178:$J$182,Effektmåling!$D$178:$D$182,$B78,$AH$120:$AH$124,BD$3))*-AW78,"")</f>
        <v/>
      </c>
      <c r="BE78" s="29" t="str">
        <f>IF((SUMIFS(Effektmåling!$J$178:$J$182,Effektmåling!$D$178:$D$182,$B78,$AH$120:$AH$124,BE$3))&lt;&gt;0,(SUMIFS(Effektmåling!$J$178:$J$182,Effektmåling!$D$178:$D$182,$B78,$AH$120:$AH$124,BE$3))*-AX78,"")</f>
        <v/>
      </c>
      <c r="BF78" s="29" t="str">
        <f>IF((SUMIFS(Effektmåling!$J$178:$J$182,Effektmåling!$D$178:$D$182,$B78,$AH$120:$AH$124,BF$3))&lt;&gt;0,(SUMIFS(Effektmåling!$J$178:$J$182,Effektmåling!$D$178:$D$182,$B78,$AH$120:$AH$124,BF$3))*-AY78,"")</f>
        <v/>
      </c>
      <c r="BH78" s="29" t="str">
        <f>IF((SUMIFS(Effektmåling!$J$163:$J$167,Effektmåling!$D$163:$D$167,$B78,$AO$120:$AO$124,BH$3))&lt;&gt;0,(SUMIFS(Effektmåling!$J$163:$J$167,Effektmåling!$D$163:$D$167,$B78,$AO$120:$AO$124,BH$3))*-AT78,"")</f>
        <v/>
      </c>
      <c r="BI78" s="29" t="str">
        <f>IF((SUMIFS(Effektmåling!$J$163:$J$167,Effektmåling!$D$163:$D$167,$B78,$AO$120:$AO$124,BI$3))&lt;&gt;0,(SUMIFS(Effektmåling!$J$163:$J$167,Effektmåling!$D$163:$D$167,$B78,$AO$120:$AO$124,BI$3))*-AU78,"")</f>
        <v/>
      </c>
      <c r="BJ78" s="29" t="str">
        <f>IF((SUMIFS(Effektmåling!$J$163:$J$167,Effektmåling!$D$163:$D$167,$B78,$AO$120:$AO$124,BJ$3))&lt;&gt;0,(SUMIFS(Effektmåling!$J$163:$J$167,Effektmåling!$D$163:$D$167,$B78,$AO$120:$AO$124,BJ$3))*-AV78,"")</f>
        <v/>
      </c>
      <c r="BK78" s="29" t="str">
        <f>IF((SUMIFS(Effektmåling!$J$163:$J$167,Effektmåling!$D$163:$D$167,$B78,$AO$120:$AO$124,BK$3))&lt;&gt;0,(SUMIFS(Effektmåling!$J$163:$J$167,Effektmåling!$D$163:$D$167,$B78,$AO$120:$AO$124,BK$3))*-AW78,"")</f>
        <v/>
      </c>
      <c r="BL78" s="29" t="str">
        <f>IF((SUMIFS(Effektmåling!$J$163:$J$167,Effektmåling!$D$163:$D$167,$B78,$AO$120:$AO$124,BL$3))&lt;&gt;0,(SUMIFS(Effektmåling!$J$163:$J$167,Effektmåling!$D$163:$D$167,$B78,$AO$120:$AO$124,BL$3))*-AX78,"")</f>
        <v/>
      </c>
      <c r="BM78" s="29" t="str">
        <f>IF((SUMIFS(Effektmåling!$J$163:$J$167,Effektmåling!$D$163:$D$167,$B78,$AO$120:$AO$124,BM$3))&lt;&gt;0,(SUMIFS(Effektmåling!$J$163:$J$167,Effektmåling!$D$163:$D$167,$B78,$AO$120:$AO$124,BM$3))*-AY78,"")</f>
        <v/>
      </c>
    </row>
    <row r="79" spans="1:65" x14ac:dyDescent="0.15">
      <c r="A79" s="19">
        <f t="shared" si="75"/>
        <v>15</v>
      </c>
      <c r="B79" s="19" t="s">
        <v>261</v>
      </c>
      <c r="C79" s="19">
        <v>1</v>
      </c>
      <c r="D79" s="57">
        <v>0</v>
      </c>
      <c r="E79" s="57">
        <v>0</v>
      </c>
      <c r="F79" s="105">
        <v>-0.29399999999999998</v>
      </c>
      <c r="G79" s="22">
        <v>-1.274</v>
      </c>
      <c r="H79" s="22">
        <f>-D19</f>
        <v>-1.0965</v>
      </c>
      <c r="I79" s="57">
        <v>0</v>
      </c>
      <c r="J79" s="57">
        <v>0</v>
      </c>
      <c r="K79" s="115">
        <v>-3.2057219779770318</v>
      </c>
      <c r="L79" s="74">
        <v>0</v>
      </c>
      <c r="M79" s="74">
        <v>0</v>
      </c>
      <c r="O79" s="40">
        <f>F79-E79</f>
        <v>-0.29399999999999998</v>
      </c>
      <c r="P79" s="480">
        <f>(IF(Effektmåling!$Q$241="Ja",-0.3*'DB materialer'!D19+G79,G79))-E79</f>
        <v>-1.274</v>
      </c>
      <c r="Q79" s="480">
        <f>(IF(Effektmåling!$Q$241="Ja",1.3*H79,H79))-E79</f>
        <v>-1.0965</v>
      </c>
      <c r="R79" s="480">
        <f>(IF(Effektmåling!$Q$241="Ja",-0.3*'DB materialer'!D19+G79,G79))-F79</f>
        <v>-0.98</v>
      </c>
      <c r="S79" s="480">
        <f>(IF(Effektmåling!$Q$241="Ja",1.3*H79,H79))-F79</f>
        <v>-0.80249999999999999</v>
      </c>
      <c r="T79" s="480">
        <f>(IF(Effektmåling!$Q$241="Ja",1.3*H79,H79))-(IF(Effektmåling!$Q$241="Ja",-0.3*'DB materialer'!D19+G79,G79))</f>
        <v>0.17749999999999999</v>
      </c>
      <c r="AE79" s="19">
        <f t="shared" si="76"/>
        <v>13</v>
      </c>
      <c r="AF79" s="29" t="str">
        <f>IF((SUMIFS(Effektmåling!$J$178:$J$182,Effektmåling!$D$178:$D$182,$B79,$AH$120:$AH$124,'DB materialer'!AF$3))&lt;&gt;0,(SUMIFS(Effektmåling!$J$178:$J$182,Effektmåling!$D$178:$D$182,$B79,$AH$120:$AH$124,'DB materialer'!AF$3))*-O79,"")</f>
        <v/>
      </c>
      <c r="AG79" s="29" t="str">
        <f>IF((SUMIFS(Effektmåling!$J$178:$J$182,Effektmåling!$D$178:$D$182,$B79,$AH$120:$AH$124,'DB materialer'!AG$3))&lt;&gt;0,(SUMIFS(Effektmåling!$J$178:$J$182,Effektmåling!$D$178:$D$182,$B79,$AH$120:$AH$124,'DB materialer'!AG$3))*-P79,"")</f>
        <v/>
      </c>
      <c r="AH79" s="29" t="str">
        <f>IF((SUMIFS(Effektmåling!$J$178:$J$182,Effektmåling!$D$178:$D$182,$B79,$AH$120:$AH$124,'DB materialer'!AH$3))&lt;&gt;0,(SUMIFS(Effektmåling!$J$178:$J$182,Effektmåling!$D$178:$D$182,$B79,$AH$120:$AH$124,'DB materialer'!AH$3))*-Q79,"")</f>
        <v/>
      </c>
      <c r="AI79" s="29" t="str">
        <f>IF((SUMIFS(Effektmåling!$J$178:$J$182,Effektmåling!$D$178:$D$182,$B79,$AH$120:$AH$124,'DB materialer'!AI$3))&lt;&gt;0,(SUMIFS(Effektmåling!$J$178:$J$182,Effektmåling!$D$178:$D$182,$B79,$AH$120:$AH$124,'DB materialer'!AI$3))*-R79,"")</f>
        <v/>
      </c>
      <c r="AJ79" s="29" t="str">
        <f>IF((SUMIFS(Effektmåling!$J$178:$J$182,Effektmåling!$D$178:$D$182,$B79,$AH$120:$AH$124,'DB materialer'!AJ$3))&lt;&gt;0,(SUMIFS(Effektmåling!$J$178:$J$182,Effektmåling!$D$178:$D$182,$B79,$AH$120:$AH$124,'DB materialer'!AJ$3))*-S79,"")</f>
        <v/>
      </c>
      <c r="AK79" s="29" t="str">
        <f>IF((SUMIFS(Effektmåling!$J$178:$J$182,Effektmåling!$D$178:$D$182,$B79,$AH$120:$AH$124,'DB materialer'!AK$3))&lt;&gt;0,(SUMIFS(Effektmåling!$J$178:$J$182,Effektmåling!$D$178:$D$182,$B79,$AH$120:$AH$124,'DB materialer'!AK$3))*-T79,"")</f>
        <v/>
      </c>
      <c r="AM79" s="29" t="str">
        <f>IF((SUMIFS(Effektmåling!$J$163:$J$167,Effektmåling!$D$163:$D$167,$B79,$AO$120:$AO$124,'DB materialer'!AM$3))&lt;&gt;0,(SUMIFS(Effektmåling!$J$163:$J$167,Effektmåling!$D$163:$D$167,$B79,$AO$120:$AO$124,'DB materialer'!AM$3))*(-O79)*($C$122),"")</f>
        <v/>
      </c>
      <c r="AN79" s="29" t="str">
        <f>IF((SUMIFS(Effektmåling!$J$163:$J$167,Effektmåling!$D$163:$D$167,$B79,$AO$120:$AO$124,'DB materialer'!AN$3))&lt;&gt;0,(SUMIFS(Effektmåling!$J$163:$J$167,Effektmåling!$D$163:$D$167,$B79,$AO$120:$AO$124,'DB materialer'!AN$3))*(-P79)*($C$122),"")</f>
        <v/>
      </c>
      <c r="AO79" s="29" t="str">
        <f>IF((SUMIFS(Effektmåling!$J$163:$J$167,Effektmåling!$D$163:$D$167,$B79,$AO$120:$AO$124,'DB materialer'!AO$3))&lt;&gt;0,(SUMIFS(Effektmåling!$J$163:$J$167,Effektmåling!$D$163:$D$167,$B79,$AO$120:$AO$124,'DB materialer'!AO$3))*(-Q79)*($C$122),"")</f>
        <v/>
      </c>
      <c r="AP79" s="29" t="str">
        <f>IF((SUMIFS(Effektmåling!$J$163:$J$167,Effektmåling!$D$163:$D$167,$B79,$AO$120:$AO$124,'DB materialer'!AP$3))&lt;&gt;0,(SUMIFS(Effektmåling!$J$163:$J$167,Effektmåling!$D$163:$D$167,$B79,$AO$120:$AO$124,'DB materialer'!AP$3))*(-R79)*($C$122),"")</f>
        <v/>
      </c>
      <c r="AQ79" s="29" t="str">
        <f>IF((SUMIFS(Effektmåling!$J$163:$J$167,Effektmåling!$D$163:$D$167,$B79,$AO$120:$AO$124,'DB materialer'!AQ$3))&lt;&gt;0,(SUMIFS(Effektmåling!$J$163:$J$167,Effektmåling!$D$163:$D$167,$B79,$AO$120:$AO$124,'DB materialer'!AQ$3))*(-S79)*($C$122),"")</f>
        <v/>
      </c>
      <c r="AR79" s="29" t="str">
        <f>IF((SUMIFS(Effektmåling!$J$163:$J$167,Effektmåling!$D$163:$D$167,$B79,$AO$120:$AO$124,'DB materialer'!AR$3))&lt;&gt;0,(SUMIFS(Effektmåling!$J$163:$J$167,Effektmåling!$D$163:$D$167,$B79,$AO$120:$AO$124,'DB materialer'!AR$3))*(-T79)*($C$122),"")</f>
        <v/>
      </c>
      <c r="AT79" s="30">
        <f>IF((K79-J79)=0,1E-30,K79-J79)</f>
        <v>-3.2057219779770318</v>
      </c>
      <c r="AU79" s="40">
        <f>IF((L79-J79)=0,1E-30,L79-J79)</f>
        <v>1.0000000000000001E-30</v>
      </c>
      <c r="AV79" s="41">
        <f>IF((M79-J79)=0,1E-30,M79-J79)</f>
        <v>1.0000000000000001E-30</v>
      </c>
      <c r="AW79" s="40">
        <f>IF((L79-K79)=0,1E-30,L79-K79)</f>
        <v>3.2057219779770318</v>
      </c>
      <c r="AX79" s="41">
        <f>IF((M79-K79)=0,1E-30,M79-K79)</f>
        <v>3.2057219779770318</v>
      </c>
      <c r="AY79" s="41">
        <f>IF((M79-L79)=0,1E-30,M79-L79)</f>
        <v>1.0000000000000001E-30</v>
      </c>
      <c r="BA79" s="29" t="str">
        <f>IF((SUMIFS(Effektmåling!$J$178:$J$182,Effektmåling!$D$178:$D$182,$B79,$AH$120:$AH$124,BA$3))&lt;&gt;0,(SUMIFS(Effektmåling!$J$178:$J$182,Effektmåling!$D$178:$D$182,$B79,$AH$120:$AH$124,BA$3))*-AT79,"")</f>
        <v/>
      </c>
      <c r="BB79" s="29" t="str">
        <f>IF((SUMIFS(Effektmåling!$J$178:$J$182,Effektmåling!$D$178:$D$182,$B79,$AH$120:$AH$124,BB$3))&lt;&gt;0,(SUMIFS(Effektmåling!$J$178:$J$182,Effektmåling!$D$178:$D$182,$B79,$AH$120:$AH$124,BB$3))*-AU79,"")</f>
        <v/>
      </c>
      <c r="BC79" s="29" t="str">
        <f>IF((SUMIFS(Effektmåling!$J$178:$J$182,Effektmåling!$D$178:$D$182,$B79,$AH$120:$AH$124,BC$3))&lt;&gt;0,(SUMIFS(Effektmåling!$J$178:$J$182,Effektmåling!$D$178:$D$182,$B79,$AH$120:$AH$124,BC$3))*-AV79,"")</f>
        <v/>
      </c>
      <c r="BD79" s="29" t="str">
        <f>IF((SUMIFS(Effektmåling!$J$178:$J$182,Effektmåling!$D$178:$D$182,$B79,$AH$120:$AH$124,BD$3))&lt;&gt;0,(SUMIFS(Effektmåling!$J$178:$J$182,Effektmåling!$D$178:$D$182,$B79,$AH$120:$AH$124,BD$3))*-AW79,"")</f>
        <v/>
      </c>
      <c r="BE79" s="29" t="str">
        <f>IF((SUMIFS(Effektmåling!$J$178:$J$182,Effektmåling!$D$178:$D$182,$B79,$AH$120:$AH$124,BE$3))&lt;&gt;0,(SUMIFS(Effektmåling!$J$178:$J$182,Effektmåling!$D$178:$D$182,$B79,$AH$120:$AH$124,BE$3))*-AX79,"")</f>
        <v/>
      </c>
      <c r="BF79" s="29" t="str">
        <f>IF((SUMIFS(Effektmåling!$J$178:$J$182,Effektmåling!$D$178:$D$182,$B79,$AH$120:$AH$124,BF$3))&lt;&gt;0,(SUMIFS(Effektmåling!$J$178:$J$182,Effektmåling!$D$178:$D$182,$B79,$AH$120:$AH$124,BF$3))*-AY79,"")</f>
        <v/>
      </c>
      <c r="BH79" s="29" t="str">
        <f>IF((SUMIFS(Effektmåling!$J$163:$J$167,Effektmåling!$D$163:$D$167,$B79,$AO$120:$AO$124,BH$3))&lt;&gt;0,(SUMIFS(Effektmåling!$J$163:$J$167,Effektmåling!$D$163:$D$167,$B79,$AO$120:$AO$124,BH$3))*-AT79,"")</f>
        <v/>
      </c>
      <c r="BI79" s="29" t="str">
        <f>IF((SUMIFS(Effektmåling!$J$163:$J$167,Effektmåling!$D$163:$D$167,$B79,$AO$120:$AO$124,BI$3))&lt;&gt;0,(SUMIFS(Effektmåling!$J$163:$J$167,Effektmåling!$D$163:$D$167,$B79,$AO$120:$AO$124,BI$3))*-AU79,"")</f>
        <v/>
      </c>
      <c r="BJ79" s="29" t="str">
        <f>IF((SUMIFS(Effektmåling!$J$163:$J$167,Effektmåling!$D$163:$D$167,$B79,$AO$120:$AO$124,BJ$3))&lt;&gt;0,(SUMIFS(Effektmåling!$J$163:$J$167,Effektmåling!$D$163:$D$167,$B79,$AO$120:$AO$124,BJ$3))*-AV79,"")</f>
        <v/>
      </c>
      <c r="BK79" s="29" t="str">
        <f>IF((SUMIFS(Effektmåling!$J$163:$J$167,Effektmåling!$D$163:$D$167,$B79,$AO$120:$AO$124,BK$3))&lt;&gt;0,(SUMIFS(Effektmåling!$J$163:$J$167,Effektmåling!$D$163:$D$167,$B79,$AO$120:$AO$124,BK$3))*-AW79,"")</f>
        <v/>
      </c>
      <c r="BL79" s="29" t="str">
        <f>IF((SUMIFS(Effektmåling!$J$163:$J$167,Effektmåling!$D$163:$D$167,$B79,$AO$120:$AO$124,BL$3))&lt;&gt;0,(SUMIFS(Effektmåling!$J$163:$J$167,Effektmåling!$D$163:$D$167,$B79,$AO$120:$AO$124,BL$3))*-AX79,"")</f>
        <v/>
      </c>
      <c r="BM79" s="29" t="str">
        <f>IF((SUMIFS(Effektmåling!$J$163:$J$167,Effektmåling!$D$163:$D$167,$B79,$AO$120:$AO$124,BM$3))&lt;&gt;0,(SUMIFS(Effektmåling!$J$163:$J$167,Effektmåling!$D$163:$D$167,$B79,$AO$120:$AO$124,BM$3))*-AY79,"")</f>
        <v/>
      </c>
    </row>
    <row r="80" spans="1:65" x14ac:dyDescent="0.15">
      <c r="A80" s="19">
        <f t="shared" si="75"/>
        <v>16</v>
      </c>
      <c r="B80" s="19" t="s">
        <v>262</v>
      </c>
      <c r="C80" s="18" t="s">
        <v>245</v>
      </c>
      <c r="D80" s="18" t="s">
        <v>245</v>
      </c>
      <c r="E80" s="18" t="s">
        <v>245</v>
      </c>
      <c r="F80" s="18" t="s">
        <v>245</v>
      </c>
      <c r="G80" s="18" t="s">
        <v>245</v>
      </c>
      <c r="H80" s="18" t="s">
        <v>245</v>
      </c>
      <c r="I80" s="18" t="s">
        <v>245</v>
      </c>
      <c r="J80" s="18" t="s">
        <v>245</v>
      </c>
      <c r="K80" s="18" t="s">
        <v>245</v>
      </c>
      <c r="L80" s="18" t="s">
        <v>245</v>
      </c>
      <c r="M80" s="18" t="s">
        <v>245</v>
      </c>
      <c r="O80" s="149"/>
      <c r="P80" s="480"/>
      <c r="Q80" s="480"/>
      <c r="R80" s="480"/>
      <c r="S80" s="480"/>
      <c r="T80" s="480"/>
      <c r="AE80" s="19">
        <f t="shared" si="76"/>
        <v>14</v>
      </c>
      <c r="AF80" s="45"/>
      <c r="AG80" s="45"/>
      <c r="AH80" s="45"/>
      <c r="AI80" s="45"/>
      <c r="AJ80" s="45"/>
      <c r="AK80" s="45"/>
      <c r="AM80" s="45"/>
      <c r="AN80" s="45"/>
      <c r="AO80" s="45"/>
      <c r="AP80" s="45"/>
      <c r="AQ80" s="45"/>
      <c r="AR80" s="45"/>
      <c r="AT80" s="47"/>
      <c r="AU80" s="149"/>
      <c r="AV80" s="51"/>
      <c r="AW80" s="149"/>
      <c r="AX80" s="51"/>
      <c r="AY80" s="51"/>
      <c r="BA80" s="45"/>
      <c r="BB80" s="45"/>
      <c r="BC80" s="45"/>
      <c r="BD80" s="45"/>
      <c r="BE80" s="45"/>
      <c r="BF80" s="45"/>
      <c r="BH80" s="45"/>
      <c r="BI80" s="45"/>
      <c r="BJ80" s="45"/>
      <c r="BK80" s="45"/>
      <c r="BL80" s="45"/>
      <c r="BM80" s="45"/>
    </row>
    <row r="81" spans="1:65" x14ac:dyDescent="0.15">
      <c r="A81" s="19">
        <f t="shared" si="75"/>
        <v>17</v>
      </c>
      <c r="B81" s="19" t="s">
        <v>263</v>
      </c>
      <c r="C81" s="19">
        <v>1</v>
      </c>
      <c r="D81" s="57">
        <v>0</v>
      </c>
      <c r="E81" s="57">
        <v>0</v>
      </c>
      <c r="F81" s="105">
        <v>-2.9249999999999998</v>
      </c>
      <c r="G81" s="22">
        <v>-3.5680000000000001</v>
      </c>
      <c r="H81" s="22">
        <f t="shared" ref="H81:H90" si="77">-D21</f>
        <v>-3.8723999999999998</v>
      </c>
      <c r="I81" s="57">
        <v>0</v>
      </c>
      <c r="J81" s="57">
        <v>0</v>
      </c>
      <c r="K81" s="114">
        <v>-6.4114439559540637</v>
      </c>
      <c r="L81" s="88">
        <v>-0.18290028039023151</v>
      </c>
      <c r="M81" s="88">
        <v>-0.19850421686746988</v>
      </c>
      <c r="O81" s="40">
        <f t="shared" ref="O81:O90" si="78">F81-E81</f>
        <v>-2.9249999999999998</v>
      </c>
      <c r="P81" s="480">
        <f>(IF(Effektmåling!$Q$241="Ja",-0.3*'DB materialer'!D21+G81,G81))-E81</f>
        <v>-3.5680000000000001</v>
      </c>
      <c r="Q81" s="480">
        <f>(IF(Effektmåling!$Q$241="Ja",1.3*H81,H81))-E81</f>
        <v>-3.8723999999999998</v>
      </c>
      <c r="R81" s="480">
        <f>(IF(Effektmåling!$Q$241="Ja",-0.3*'DB materialer'!D21+G81,G81))-F81</f>
        <v>-0.64300000000000024</v>
      </c>
      <c r="S81" s="480">
        <f>(IF(Effektmåling!$Q$241="Ja",1.3*H81,H81))-F81</f>
        <v>-0.94740000000000002</v>
      </c>
      <c r="T81" s="480">
        <f>(IF(Effektmåling!$Q$241="Ja",1.3*H81,H81))-(IF(Effektmåling!$Q$241="Ja",-0.3*'DB materialer'!D21+G81,G81))</f>
        <v>-0.30439999999999978</v>
      </c>
      <c r="AE81" s="19">
        <f t="shared" si="76"/>
        <v>15</v>
      </c>
      <c r="AF81" s="29" t="str">
        <f>IF((SUMIFS(Effektmåling!$J$178:$J$182,Effektmåling!$D$178:$D$182,$B81,$AH$120:$AH$124,'DB materialer'!AF$3))&lt;&gt;0,(SUMIFS(Effektmåling!$J$178:$J$182,Effektmåling!$D$178:$D$182,$B81,$AH$120:$AH$124,'DB materialer'!AF$3))*-O81,"")</f>
        <v/>
      </c>
      <c r="AG81" s="29" t="str">
        <f>IF((SUMIFS(Effektmåling!$J$178:$J$182,Effektmåling!$D$178:$D$182,$B81,$AH$120:$AH$124,'DB materialer'!AG$3))&lt;&gt;0,(SUMIFS(Effektmåling!$J$178:$J$182,Effektmåling!$D$178:$D$182,$B81,$AH$120:$AH$124,'DB materialer'!AG$3))*-P81,"")</f>
        <v/>
      </c>
      <c r="AH81" s="29" t="str">
        <f>IF((SUMIFS(Effektmåling!$J$178:$J$182,Effektmåling!$D$178:$D$182,$B81,$AH$120:$AH$124,'DB materialer'!AH$3))&lt;&gt;0,(SUMIFS(Effektmåling!$J$178:$J$182,Effektmåling!$D$178:$D$182,$B81,$AH$120:$AH$124,'DB materialer'!AH$3))*-Q81,"")</f>
        <v/>
      </c>
      <c r="AI81" s="29" t="str">
        <f>IF((SUMIFS(Effektmåling!$J$178:$J$182,Effektmåling!$D$178:$D$182,$B81,$AH$120:$AH$124,'DB materialer'!AI$3))&lt;&gt;0,(SUMIFS(Effektmåling!$J$178:$J$182,Effektmåling!$D$178:$D$182,$B81,$AH$120:$AH$124,'DB materialer'!AI$3))*-R81,"")</f>
        <v/>
      </c>
      <c r="AJ81" s="29" t="str">
        <f>IF((SUMIFS(Effektmåling!$J$178:$J$182,Effektmåling!$D$178:$D$182,$B81,$AH$120:$AH$124,'DB materialer'!AJ$3))&lt;&gt;0,(SUMIFS(Effektmåling!$J$178:$J$182,Effektmåling!$D$178:$D$182,$B81,$AH$120:$AH$124,'DB materialer'!AJ$3))*-S81,"")</f>
        <v/>
      </c>
      <c r="AK81" s="29" t="str">
        <f>IF((SUMIFS(Effektmåling!$J$178:$J$182,Effektmåling!$D$178:$D$182,$B81,$AH$120:$AH$124,'DB materialer'!AK$3))&lt;&gt;0,(SUMIFS(Effektmåling!$J$178:$J$182,Effektmåling!$D$178:$D$182,$B81,$AH$120:$AH$124,'DB materialer'!AK$3))*-T81,"")</f>
        <v/>
      </c>
      <c r="AM81" s="29" t="str">
        <f>IF((SUMIFS(Effektmåling!$J$163:$J$167,Effektmåling!$D$163:$D$167,$B81,$AO$120:$AO$124,'DB materialer'!AM$3))&lt;&gt;0,(SUMIFS(Effektmåling!$J$163:$J$167,Effektmåling!$D$163:$D$167,$B81,$AO$120:$AO$124,'DB materialer'!AM$3))*(-O81)*($C$122),"")</f>
        <v/>
      </c>
      <c r="AN81" s="29" t="str">
        <f>IF((SUMIFS(Effektmåling!$J$163:$J$167,Effektmåling!$D$163:$D$167,$B81,$AO$120:$AO$124,'DB materialer'!AN$3))&lt;&gt;0,(SUMIFS(Effektmåling!$J$163:$J$167,Effektmåling!$D$163:$D$167,$B81,$AO$120:$AO$124,'DB materialer'!AN$3))*(-P81)*($C$122),"")</f>
        <v/>
      </c>
      <c r="AO81" s="29" t="str">
        <f>IF((SUMIFS(Effektmåling!$J$163:$J$167,Effektmåling!$D$163:$D$167,$B81,$AO$120:$AO$124,'DB materialer'!AO$3))&lt;&gt;0,(SUMIFS(Effektmåling!$J$163:$J$167,Effektmåling!$D$163:$D$167,$B81,$AO$120:$AO$124,'DB materialer'!AO$3))*(-Q81)*($C$122),"")</f>
        <v/>
      </c>
      <c r="AP81" s="29" t="str">
        <f>IF((SUMIFS(Effektmåling!$J$163:$J$167,Effektmåling!$D$163:$D$167,$B81,$AO$120:$AO$124,'DB materialer'!AP$3))&lt;&gt;0,(SUMIFS(Effektmåling!$J$163:$J$167,Effektmåling!$D$163:$D$167,$B81,$AO$120:$AO$124,'DB materialer'!AP$3))*(-R81)*($C$122),"")</f>
        <v/>
      </c>
      <c r="AQ81" s="29" t="str">
        <f>IF((SUMIFS(Effektmåling!$J$163:$J$167,Effektmåling!$D$163:$D$167,$B81,$AO$120:$AO$124,'DB materialer'!AQ$3))&lt;&gt;0,(SUMIFS(Effektmåling!$J$163:$J$167,Effektmåling!$D$163:$D$167,$B81,$AO$120:$AO$124,'DB materialer'!AQ$3))*(-S81)*($C$122),"")</f>
        <v/>
      </c>
      <c r="AR81" s="29" t="str">
        <f>IF((SUMIFS(Effektmåling!$J$163:$J$167,Effektmåling!$D$163:$D$167,$B81,$AO$120:$AO$124,'DB materialer'!AR$3))&lt;&gt;0,(SUMIFS(Effektmåling!$J$163:$J$167,Effektmåling!$D$163:$D$167,$B81,$AO$120:$AO$124,'DB materialer'!AR$3))*(-T81)*($C$122),"")</f>
        <v/>
      </c>
      <c r="AT81" s="30">
        <f t="shared" ref="AT81:AT90" si="79">IF((K81-J81)=0,1E-30,K81-J81)</f>
        <v>-6.4114439559540637</v>
      </c>
      <c r="AU81" s="40">
        <f t="shared" ref="AU81:AU90" si="80">IF((L81-J81)=0,1E-30,L81-J81)</f>
        <v>-0.18290028039023151</v>
      </c>
      <c r="AV81" s="41">
        <f t="shared" ref="AV81:AV90" si="81">IF((M81-J81)=0,1E-30,M81-J81)</f>
        <v>-0.19850421686746988</v>
      </c>
      <c r="AW81" s="40">
        <f t="shared" ref="AW81:AW90" si="82">IF((L81-K81)=0,1E-30,L81-K81)</f>
        <v>6.2285436755638326</v>
      </c>
      <c r="AX81" s="41">
        <f t="shared" ref="AX81:AX90" si="83">IF((M81-K81)=0,1E-30,M81-K81)</f>
        <v>6.2129397390865941</v>
      </c>
      <c r="AY81" s="41">
        <f t="shared" ref="AY81:AY90" si="84">IF((M81-L81)=0,1E-30,M81-L81)</f>
        <v>-1.5603936477238373E-2</v>
      </c>
      <c r="BA81" s="29" t="str">
        <f>IF((SUMIFS(Effektmåling!$J$178:$J$182,Effektmåling!$D$178:$D$182,$B81,$AH$120:$AH$124,BA$3))&lt;&gt;0,(SUMIFS(Effektmåling!$J$178:$J$182,Effektmåling!$D$178:$D$182,$B81,$AH$120:$AH$124,BA$3))*-AT81,"")</f>
        <v/>
      </c>
      <c r="BB81" s="29" t="str">
        <f>IF((SUMIFS(Effektmåling!$J$178:$J$182,Effektmåling!$D$178:$D$182,$B81,$AH$120:$AH$124,BB$3))&lt;&gt;0,(SUMIFS(Effektmåling!$J$178:$J$182,Effektmåling!$D$178:$D$182,$B81,$AH$120:$AH$124,BB$3))*-AU81,"")</f>
        <v/>
      </c>
      <c r="BC81" s="29" t="str">
        <f>IF((SUMIFS(Effektmåling!$J$178:$J$182,Effektmåling!$D$178:$D$182,$B81,$AH$120:$AH$124,BC$3))&lt;&gt;0,(SUMIFS(Effektmåling!$J$178:$J$182,Effektmåling!$D$178:$D$182,$B81,$AH$120:$AH$124,BC$3))*-AV81,"")</f>
        <v/>
      </c>
      <c r="BD81" s="29" t="str">
        <f>IF((SUMIFS(Effektmåling!$J$178:$J$182,Effektmåling!$D$178:$D$182,$B81,$AH$120:$AH$124,BD$3))&lt;&gt;0,(SUMIFS(Effektmåling!$J$178:$J$182,Effektmåling!$D$178:$D$182,$B81,$AH$120:$AH$124,BD$3))*-AW81,"")</f>
        <v/>
      </c>
      <c r="BE81" s="29" t="str">
        <f>IF((SUMIFS(Effektmåling!$J$178:$J$182,Effektmåling!$D$178:$D$182,$B81,$AH$120:$AH$124,BE$3))&lt;&gt;0,(SUMIFS(Effektmåling!$J$178:$J$182,Effektmåling!$D$178:$D$182,$B81,$AH$120:$AH$124,BE$3))*-AX81,"")</f>
        <v/>
      </c>
      <c r="BF81" s="29" t="str">
        <f>IF((SUMIFS(Effektmåling!$J$178:$J$182,Effektmåling!$D$178:$D$182,$B81,$AH$120:$AH$124,BF$3))&lt;&gt;0,(SUMIFS(Effektmåling!$J$178:$J$182,Effektmåling!$D$178:$D$182,$B81,$AH$120:$AH$124,BF$3))*-AY81,"")</f>
        <v/>
      </c>
      <c r="BH81" s="29" t="str">
        <f>IF((SUMIFS(Effektmåling!$J$163:$J$167,Effektmåling!$D$163:$D$167,$B81,$AO$120:$AO$124,BH$3))&lt;&gt;0,(SUMIFS(Effektmåling!$J$163:$J$167,Effektmåling!$D$163:$D$167,$B81,$AO$120:$AO$124,BH$3))*-AT81,"")</f>
        <v/>
      </c>
      <c r="BI81" s="29" t="str">
        <f>IF((SUMIFS(Effektmåling!$J$163:$J$167,Effektmåling!$D$163:$D$167,$B81,$AO$120:$AO$124,BI$3))&lt;&gt;0,(SUMIFS(Effektmåling!$J$163:$J$167,Effektmåling!$D$163:$D$167,$B81,$AO$120:$AO$124,BI$3))*-AU81,"")</f>
        <v/>
      </c>
      <c r="BJ81" s="29" t="str">
        <f>IF((SUMIFS(Effektmåling!$J$163:$J$167,Effektmåling!$D$163:$D$167,$B81,$AO$120:$AO$124,BJ$3))&lt;&gt;0,(SUMIFS(Effektmåling!$J$163:$J$167,Effektmåling!$D$163:$D$167,$B81,$AO$120:$AO$124,BJ$3))*-AV81,"")</f>
        <v/>
      </c>
      <c r="BK81" s="29" t="str">
        <f>IF((SUMIFS(Effektmåling!$J$163:$J$167,Effektmåling!$D$163:$D$167,$B81,$AO$120:$AO$124,BK$3))&lt;&gt;0,(SUMIFS(Effektmåling!$J$163:$J$167,Effektmåling!$D$163:$D$167,$B81,$AO$120:$AO$124,BK$3))*-AW81,"")</f>
        <v/>
      </c>
      <c r="BL81" s="29" t="str">
        <f>IF((SUMIFS(Effektmåling!$J$163:$J$167,Effektmåling!$D$163:$D$167,$B81,$AO$120:$AO$124,BL$3))&lt;&gt;0,(SUMIFS(Effektmåling!$J$163:$J$167,Effektmåling!$D$163:$D$167,$B81,$AO$120:$AO$124,BL$3))*-AX81,"")</f>
        <v/>
      </c>
      <c r="BM81" s="29" t="str">
        <f>IF((SUMIFS(Effektmåling!$J$163:$J$167,Effektmåling!$D$163:$D$167,$B81,$AO$120:$AO$124,BM$3))&lt;&gt;0,(SUMIFS(Effektmåling!$J$163:$J$167,Effektmåling!$D$163:$D$167,$B81,$AO$120:$AO$124,BM$3))*-AY81,"")</f>
        <v/>
      </c>
    </row>
    <row r="82" spans="1:65" x14ac:dyDescent="0.15">
      <c r="A82" s="19">
        <f t="shared" si="75"/>
        <v>18</v>
      </c>
      <c r="B82" s="19" t="s">
        <v>264</v>
      </c>
      <c r="C82" s="19">
        <v>1</v>
      </c>
      <c r="D82" s="57">
        <v>0</v>
      </c>
      <c r="E82" s="57">
        <v>0</v>
      </c>
      <c r="F82" s="105">
        <v>-1.452</v>
      </c>
      <c r="G82" s="22">
        <v>-8.5839999999999996</v>
      </c>
      <c r="H82" s="22">
        <f t="shared" si="77"/>
        <v>-9.3154000000000003</v>
      </c>
      <c r="I82" s="57">
        <v>0</v>
      </c>
      <c r="J82" s="57">
        <v>0</v>
      </c>
      <c r="K82" s="114">
        <v>-6.4114439559540637</v>
      </c>
      <c r="L82" s="88">
        <v>-0.18291862910775292</v>
      </c>
      <c r="M82" s="88">
        <v>-0.19850421686746988</v>
      </c>
      <c r="O82" s="40">
        <f t="shared" si="78"/>
        <v>-1.452</v>
      </c>
      <c r="P82" s="480">
        <f>(IF(Effektmåling!$Q$241="Ja",-0.3*'DB materialer'!D22+G82,G82))-E82</f>
        <v>-8.5839999999999996</v>
      </c>
      <c r="Q82" s="480">
        <f>(IF(Effektmåling!$Q$241="Ja",1.3*H82,H82))-E82</f>
        <v>-9.3154000000000003</v>
      </c>
      <c r="R82" s="480">
        <f>(IF(Effektmåling!$Q$241="Ja",-0.3*'DB materialer'!D22+G82,G82))-F82</f>
        <v>-7.1319999999999997</v>
      </c>
      <c r="S82" s="480">
        <f>(IF(Effektmåling!$Q$241="Ja",1.3*H82,H82))-F82</f>
        <v>-7.8634000000000004</v>
      </c>
      <c r="T82" s="480">
        <f>(IF(Effektmåling!$Q$241="Ja",1.3*H82,H82))-(IF(Effektmåling!$Q$241="Ja",-0.3*'DB materialer'!D22+G82,G82))</f>
        <v>-0.73140000000000072</v>
      </c>
      <c r="AE82" s="19">
        <f t="shared" si="76"/>
        <v>16</v>
      </c>
      <c r="AF82" s="29" t="str">
        <f>IF((SUMIFS(Effektmåling!$J$178:$J$182,Effektmåling!$D$178:$D$182,$B82,$AH$120:$AH$124,'DB materialer'!AF$3))&lt;&gt;0,(SUMIFS(Effektmåling!$J$178:$J$182,Effektmåling!$D$178:$D$182,$B82,$AH$120:$AH$124,'DB materialer'!AF$3))*-O82,"")</f>
        <v/>
      </c>
      <c r="AG82" s="29" t="str">
        <f>IF((SUMIFS(Effektmåling!$J$178:$J$182,Effektmåling!$D$178:$D$182,$B82,$AH$120:$AH$124,'DB materialer'!AG$3))&lt;&gt;0,(SUMIFS(Effektmåling!$J$178:$J$182,Effektmåling!$D$178:$D$182,$B82,$AH$120:$AH$124,'DB materialer'!AG$3))*-P82,"")</f>
        <v/>
      </c>
      <c r="AH82" s="29" t="str">
        <f>IF((SUMIFS(Effektmåling!$J$178:$J$182,Effektmåling!$D$178:$D$182,$B82,$AH$120:$AH$124,'DB materialer'!AH$3))&lt;&gt;0,(SUMIFS(Effektmåling!$J$178:$J$182,Effektmåling!$D$178:$D$182,$B82,$AH$120:$AH$124,'DB materialer'!AH$3))*-Q82,"")</f>
        <v/>
      </c>
      <c r="AI82" s="29" t="str">
        <f>IF((SUMIFS(Effektmåling!$J$178:$J$182,Effektmåling!$D$178:$D$182,$B82,$AH$120:$AH$124,'DB materialer'!AI$3))&lt;&gt;0,(SUMIFS(Effektmåling!$J$178:$J$182,Effektmåling!$D$178:$D$182,$B82,$AH$120:$AH$124,'DB materialer'!AI$3))*-R82,"")</f>
        <v/>
      </c>
      <c r="AJ82" s="29" t="str">
        <f>IF((SUMIFS(Effektmåling!$J$178:$J$182,Effektmåling!$D$178:$D$182,$B82,$AH$120:$AH$124,'DB materialer'!AJ$3))&lt;&gt;0,(SUMIFS(Effektmåling!$J$178:$J$182,Effektmåling!$D$178:$D$182,$B82,$AH$120:$AH$124,'DB materialer'!AJ$3))*-S82,"")</f>
        <v/>
      </c>
      <c r="AK82" s="29" t="str">
        <f>IF((SUMIFS(Effektmåling!$J$178:$J$182,Effektmåling!$D$178:$D$182,$B82,$AH$120:$AH$124,'DB materialer'!AK$3))&lt;&gt;0,(SUMIFS(Effektmåling!$J$178:$J$182,Effektmåling!$D$178:$D$182,$B82,$AH$120:$AH$124,'DB materialer'!AK$3))*-T82,"")</f>
        <v/>
      </c>
      <c r="AM82" s="29" t="str">
        <f>IF((SUMIFS(Effektmåling!$J$163:$J$167,Effektmåling!$D$163:$D$167,$B82,$AO$120:$AO$124,'DB materialer'!AM$3))&lt;&gt;0,(SUMIFS(Effektmåling!$J$163:$J$167,Effektmåling!$D$163:$D$167,$B82,$AO$120:$AO$124,'DB materialer'!AM$3))*(-O82)*($C$122),"")</f>
        <v/>
      </c>
      <c r="AN82" s="29" t="str">
        <f>IF((SUMIFS(Effektmåling!$J$163:$J$167,Effektmåling!$D$163:$D$167,$B82,$AO$120:$AO$124,'DB materialer'!AN$3))&lt;&gt;0,(SUMIFS(Effektmåling!$J$163:$J$167,Effektmåling!$D$163:$D$167,$B82,$AO$120:$AO$124,'DB materialer'!AN$3))*(-P82)*($C$122),"")</f>
        <v/>
      </c>
      <c r="AO82" s="29" t="str">
        <f>IF((SUMIFS(Effektmåling!$J$163:$J$167,Effektmåling!$D$163:$D$167,$B82,$AO$120:$AO$124,'DB materialer'!AO$3))&lt;&gt;0,(SUMIFS(Effektmåling!$J$163:$J$167,Effektmåling!$D$163:$D$167,$B82,$AO$120:$AO$124,'DB materialer'!AO$3))*(-Q82)*($C$122),"")</f>
        <v/>
      </c>
      <c r="AP82" s="29" t="str">
        <f>IF((SUMIFS(Effektmåling!$J$163:$J$167,Effektmåling!$D$163:$D$167,$B82,$AO$120:$AO$124,'DB materialer'!AP$3))&lt;&gt;0,(SUMIFS(Effektmåling!$J$163:$J$167,Effektmåling!$D$163:$D$167,$B82,$AO$120:$AO$124,'DB materialer'!AP$3))*(-R82)*($C$122),"")</f>
        <v/>
      </c>
      <c r="AQ82" s="29" t="str">
        <f>IF((SUMIFS(Effektmåling!$J$163:$J$167,Effektmåling!$D$163:$D$167,$B82,$AO$120:$AO$124,'DB materialer'!AQ$3))&lt;&gt;0,(SUMIFS(Effektmåling!$J$163:$J$167,Effektmåling!$D$163:$D$167,$B82,$AO$120:$AO$124,'DB materialer'!AQ$3))*(-S82)*($C$122),"")</f>
        <v/>
      </c>
      <c r="AR82" s="29" t="str">
        <f>IF((SUMIFS(Effektmåling!$J$163:$J$167,Effektmåling!$D$163:$D$167,$B82,$AO$120:$AO$124,'DB materialer'!AR$3))&lt;&gt;0,(SUMIFS(Effektmåling!$J$163:$J$167,Effektmåling!$D$163:$D$167,$B82,$AO$120:$AO$124,'DB materialer'!AR$3))*(-T82)*($C$122),"")</f>
        <v/>
      </c>
      <c r="AT82" s="30">
        <f t="shared" si="79"/>
        <v>-6.4114439559540637</v>
      </c>
      <c r="AU82" s="40">
        <f t="shared" si="80"/>
        <v>-0.18291862910775292</v>
      </c>
      <c r="AV82" s="41">
        <f t="shared" si="81"/>
        <v>-0.19850421686746988</v>
      </c>
      <c r="AW82" s="40">
        <f t="shared" si="82"/>
        <v>6.2285253268463112</v>
      </c>
      <c r="AX82" s="41">
        <f t="shared" si="83"/>
        <v>6.2129397390865941</v>
      </c>
      <c r="AY82" s="41">
        <f t="shared" si="84"/>
        <v>-1.5585587759716968E-2</v>
      </c>
      <c r="BA82" s="29" t="str">
        <f>IF((SUMIFS(Effektmåling!$J$178:$J$182,Effektmåling!$D$178:$D$182,$B82,$AH$120:$AH$124,BA$3))&lt;&gt;0,(SUMIFS(Effektmåling!$J$178:$J$182,Effektmåling!$D$178:$D$182,$B82,$AH$120:$AH$124,BA$3))*-AT82,"")</f>
        <v/>
      </c>
      <c r="BB82" s="29" t="str">
        <f>IF((SUMIFS(Effektmåling!$J$178:$J$182,Effektmåling!$D$178:$D$182,$B82,$AH$120:$AH$124,BB$3))&lt;&gt;0,(SUMIFS(Effektmåling!$J$178:$J$182,Effektmåling!$D$178:$D$182,$B82,$AH$120:$AH$124,BB$3))*-AU82,"")</f>
        <v/>
      </c>
      <c r="BC82" s="29" t="str">
        <f>IF((SUMIFS(Effektmåling!$J$178:$J$182,Effektmåling!$D$178:$D$182,$B82,$AH$120:$AH$124,BC$3))&lt;&gt;0,(SUMIFS(Effektmåling!$J$178:$J$182,Effektmåling!$D$178:$D$182,$B82,$AH$120:$AH$124,BC$3))*-AV82,"")</f>
        <v/>
      </c>
      <c r="BD82" s="29" t="str">
        <f>IF((SUMIFS(Effektmåling!$J$178:$J$182,Effektmåling!$D$178:$D$182,$B82,$AH$120:$AH$124,BD$3))&lt;&gt;0,(SUMIFS(Effektmåling!$J$178:$J$182,Effektmåling!$D$178:$D$182,$B82,$AH$120:$AH$124,BD$3))*-AW82,"")</f>
        <v/>
      </c>
      <c r="BE82" s="29" t="str">
        <f>IF((SUMIFS(Effektmåling!$J$178:$J$182,Effektmåling!$D$178:$D$182,$B82,$AH$120:$AH$124,BE$3))&lt;&gt;0,(SUMIFS(Effektmåling!$J$178:$J$182,Effektmåling!$D$178:$D$182,$B82,$AH$120:$AH$124,BE$3))*-AX82,"")</f>
        <v/>
      </c>
      <c r="BF82" s="29" t="str">
        <f>IF((SUMIFS(Effektmåling!$J$178:$J$182,Effektmåling!$D$178:$D$182,$B82,$AH$120:$AH$124,BF$3))&lt;&gt;0,(SUMIFS(Effektmåling!$J$178:$J$182,Effektmåling!$D$178:$D$182,$B82,$AH$120:$AH$124,BF$3))*-AY82,"")</f>
        <v/>
      </c>
      <c r="BH82" s="29" t="str">
        <f>IF((SUMIFS(Effektmåling!$J$163:$J$167,Effektmåling!$D$163:$D$167,$B82,$AO$120:$AO$124,BH$3))&lt;&gt;0,(SUMIFS(Effektmåling!$J$163:$J$167,Effektmåling!$D$163:$D$167,$B82,$AO$120:$AO$124,BH$3))*-AT82,"")</f>
        <v/>
      </c>
      <c r="BI82" s="29" t="str">
        <f>IF((SUMIFS(Effektmåling!$J$163:$J$167,Effektmåling!$D$163:$D$167,$B82,$AO$120:$AO$124,BI$3))&lt;&gt;0,(SUMIFS(Effektmåling!$J$163:$J$167,Effektmåling!$D$163:$D$167,$B82,$AO$120:$AO$124,BI$3))*-AU82,"")</f>
        <v/>
      </c>
      <c r="BJ82" s="29" t="str">
        <f>IF((SUMIFS(Effektmåling!$J$163:$J$167,Effektmåling!$D$163:$D$167,$B82,$AO$120:$AO$124,BJ$3))&lt;&gt;0,(SUMIFS(Effektmåling!$J$163:$J$167,Effektmåling!$D$163:$D$167,$B82,$AO$120:$AO$124,BJ$3))*-AV82,"")</f>
        <v/>
      </c>
      <c r="BK82" s="29" t="str">
        <f>IF((SUMIFS(Effektmåling!$J$163:$J$167,Effektmåling!$D$163:$D$167,$B82,$AO$120:$AO$124,BK$3))&lt;&gt;0,(SUMIFS(Effektmåling!$J$163:$J$167,Effektmåling!$D$163:$D$167,$B82,$AO$120:$AO$124,BK$3))*-AW82,"")</f>
        <v/>
      </c>
      <c r="BL82" s="29" t="str">
        <f>IF((SUMIFS(Effektmåling!$J$163:$J$167,Effektmåling!$D$163:$D$167,$B82,$AO$120:$AO$124,BL$3))&lt;&gt;0,(SUMIFS(Effektmåling!$J$163:$J$167,Effektmåling!$D$163:$D$167,$B82,$AO$120:$AO$124,BL$3))*-AX82,"")</f>
        <v/>
      </c>
      <c r="BM82" s="29" t="str">
        <f>IF((SUMIFS(Effektmåling!$J$163:$J$167,Effektmåling!$D$163:$D$167,$B82,$AO$120:$AO$124,BM$3))&lt;&gt;0,(SUMIFS(Effektmåling!$J$163:$J$167,Effektmåling!$D$163:$D$167,$B82,$AO$120:$AO$124,BM$3))*-AY82,"")</f>
        <v/>
      </c>
    </row>
    <row r="83" spans="1:65" x14ac:dyDescent="0.15">
      <c r="A83" s="19">
        <f t="shared" si="75"/>
        <v>19</v>
      </c>
      <c r="B83" s="19" t="s">
        <v>265</v>
      </c>
      <c r="C83" s="19">
        <v>1</v>
      </c>
      <c r="D83" s="57">
        <v>0</v>
      </c>
      <c r="E83" s="57">
        <v>0</v>
      </c>
      <c r="F83" s="105">
        <v>-0.75600000000000001</v>
      </c>
      <c r="G83" s="22">
        <v>-7.1859999999999999</v>
      </c>
      <c r="H83" s="22">
        <f t="shared" si="77"/>
        <v>-7.7984</v>
      </c>
      <c r="I83" s="57">
        <v>0</v>
      </c>
      <c r="J83" s="57">
        <v>0</v>
      </c>
      <c r="K83" s="114">
        <v>-6.211086332330499</v>
      </c>
      <c r="L83" s="88">
        <v>-0.18291589331268446</v>
      </c>
      <c r="M83" s="88">
        <v>-0.19850421686746988</v>
      </c>
      <c r="O83" s="40">
        <f t="shared" si="78"/>
        <v>-0.75600000000000001</v>
      </c>
      <c r="P83" s="480">
        <f>(IF(Effektmåling!$Q$241="Ja",-0.3*'DB materialer'!D23+G83,G83))-E83</f>
        <v>-7.1859999999999999</v>
      </c>
      <c r="Q83" s="480">
        <f>(IF(Effektmåling!$Q$241="Ja",1.3*H83,H83))-E83</f>
        <v>-7.7984</v>
      </c>
      <c r="R83" s="480">
        <f>(IF(Effektmåling!$Q$241="Ja",-0.3*'DB materialer'!D23+G83,G83))-F83</f>
        <v>-6.43</v>
      </c>
      <c r="S83" s="480">
        <f>(IF(Effektmåling!$Q$241="Ja",1.3*H83,H83))-F83</f>
        <v>-7.0423999999999998</v>
      </c>
      <c r="T83" s="480">
        <f>(IF(Effektmåling!$Q$241="Ja",1.3*H83,H83))-(IF(Effektmåling!$Q$241="Ja",-0.3*'DB materialer'!D23+G83,G83))</f>
        <v>-0.61240000000000006</v>
      </c>
      <c r="AE83" s="19">
        <f t="shared" si="76"/>
        <v>17</v>
      </c>
      <c r="AF83" s="29" t="str">
        <f>IF((SUMIFS(Effektmåling!$J$178:$J$182,Effektmåling!$D$178:$D$182,$B83,$AH$120:$AH$124,'DB materialer'!AF$3))&lt;&gt;0,(SUMIFS(Effektmåling!$J$178:$J$182,Effektmåling!$D$178:$D$182,$B83,$AH$120:$AH$124,'DB materialer'!AF$3))*-O83,"")</f>
        <v/>
      </c>
      <c r="AG83" s="29" t="str">
        <f>IF((SUMIFS(Effektmåling!$J$178:$J$182,Effektmåling!$D$178:$D$182,$B83,$AH$120:$AH$124,'DB materialer'!AG$3))&lt;&gt;0,(SUMIFS(Effektmåling!$J$178:$J$182,Effektmåling!$D$178:$D$182,$B83,$AH$120:$AH$124,'DB materialer'!AG$3))*-P83,"")</f>
        <v/>
      </c>
      <c r="AH83" s="29" t="str">
        <f>IF((SUMIFS(Effektmåling!$J$178:$J$182,Effektmåling!$D$178:$D$182,$B83,$AH$120:$AH$124,'DB materialer'!AH$3))&lt;&gt;0,(SUMIFS(Effektmåling!$J$178:$J$182,Effektmåling!$D$178:$D$182,$B83,$AH$120:$AH$124,'DB materialer'!AH$3))*-Q83,"")</f>
        <v/>
      </c>
      <c r="AI83" s="29" t="str">
        <f>IF((SUMIFS(Effektmåling!$J$178:$J$182,Effektmåling!$D$178:$D$182,$B83,$AH$120:$AH$124,'DB materialer'!AI$3))&lt;&gt;0,(SUMIFS(Effektmåling!$J$178:$J$182,Effektmåling!$D$178:$D$182,$B83,$AH$120:$AH$124,'DB materialer'!AI$3))*-R83,"")</f>
        <v/>
      </c>
      <c r="AJ83" s="29" t="str">
        <f>IF((SUMIFS(Effektmåling!$J$178:$J$182,Effektmåling!$D$178:$D$182,$B83,$AH$120:$AH$124,'DB materialer'!AJ$3))&lt;&gt;0,(SUMIFS(Effektmåling!$J$178:$J$182,Effektmåling!$D$178:$D$182,$B83,$AH$120:$AH$124,'DB materialer'!AJ$3))*-S83,"")</f>
        <v/>
      </c>
      <c r="AK83" s="29" t="str">
        <f>IF((SUMIFS(Effektmåling!$J$178:$J$182,Effektmåling!$D$178:$D$182,$B83,$AH$120:$AH$124,'DB materialer'!AK$3))&lt;&gt;0,(SUMIFS(Effektmåling!$J$178:$J$182,Effektmåling!$D$178:$D$182,$B83,$AH$120:$AH$124,'DB materialer'!AK$3))*-T83,"")</f>
        <v/>
      </c>
      <c r="AM83" s="29" t="str">
        <f>IF((SUMIFS(Effektmåling!$J$163:$J$167,Effektmåling!$D$163:$D$167,$B83,$AO$120:$AO$124,'DB materialer'!AM$3))&lt;&gt;0,(SUMIFS(Effektmåling!$J$163:$J$167,Effektmåling!$D$163:$D$167,$B83,$AO$120:$AO$124,'DB materialer'!AM$3))*(-O83)*($C$122),"")</f>
        <v/>
      </c>
      <c r="AN83" s="29" t="str">
        <f>IF((SUMIFS(Effektmåling!$J$163:$J$167,Effektmåling!$D$163:$D$167,$B83,$AO$120:$AO$124,'DB materialer'!AN$3))&lt;&gt;0,(SUMIFS(Effektmåling!$J$163:$J$167,Effektmåling!$D$163:$D$167,$B83,$AO$120:$AO$124,'DB materialer'!AN$3))*(-P83)*($C$122),"")</f>
        <v/>
      </c>
      <c r="AO83" s="29" t="str">
        <f>IF((SUMIFS(Effektmåling!$J$163:$J$167,Effektmåling!$D$163:$D$167,$B83,$AO$120:$AO$124,'DB materialer'!AO$3))&lt;&gt;0,(SUMIFS(Effektmåling!$J$163:$J$167,Effektmåling!$D$163:$D$167,$B83,$AO$120:$AO$124,'DB materialer'!AO$3))*(-Q83)*($C$122),"")</f>
        <v/>
      </c>
      <c r="AP83" s="29" t="str">
        <f>IF((SUMIFS(Effektmåling!$J$163:$J$167,Effektmåling!$D$163:$D$167,$B83,$AO$120:$AO$124,'DB materialer'!AP$3))&lt;&gt;0,(SUMIFS(Effektmåling!$J$163:$J$167,Effektmåling!$D$163:$D$167,$B83,$AO$120:$AO$124,'DB materialer'!AP$3))*(-R83)*($C$122),"")</f>
        <v/>
      </c>
      <c r="AQ83" s="29" t="str">
        <f>IF((SUMIFS(Effektmåling!$J$163:$J$167,Effektmåling!$D$163:$D$167,$B83,$AO$120:$AO$124,'DB materialer'!AQ$3))&lt;&gt;0,(SUMIFS(Effektmåling!$J$163:$J$167,Effektmåling!$D$163:$D$167,$B83,$AO$120:$AO$124,'DB materialer'!AQ$3))*(-S83)*($C$122),"")</f>
        <v/>
      </c>
      <c r="AR83" s="29" t="str">
        <f>IF((SUMIFS(Effektmåling!$J$163:$J$167,Effektmåling!$D$163:$D$167,$B83,$AO$120:$AO$124,'DB materialer'!AR$3))&lt;&gt;0,(SUMIFS(Effektmåling!$J$163:$J$167,Effektmåling!$D$163:$D$167,$B83,$AO$120:$AO$124,'DB materialer'!AR$3))*(-T83)*($C$122),"")</f>
        <v/>
      </c>
      <c r="AT83" s="30">
        <f t="shared" si="79"/>
        <v>-6.211086332330499</v>
      </c>
      <c r="AU83" s="40">
        <f t="shared" si="80"/>
        <v>-0.18291589331268446</v>
      </c>
      <c r="AV83" s="41">
        <f t="shared" si="81"/>
        <v>-0.19850421686746988</v>
      </c>
      <c r="AW83" s="40">
        <f t="shared" si="82"/>
        <v>6.0281704390178144</v>
      </c>
      <c r="AX83" s="41">
        <f t="shared" si="83"/>
        <v>6.0125821154630295</v>
      </c>
      <c r="AY83" s="41">
        <f t="shared" si="84"/>
        <v>-1.5588323554785427E-2</v>
      </c>
      <c r="BA83" s="29" t="str">
        <f>IF((SUMIFS(Effektmåling!$J$178:$J$182,Effektmåling!$D$178:$D$182,$B83,$AH$120:$AH$124,BA$3))&lt;&gt;0,(SUMIFS(Effektmåling!$J$178:$J$182,Effektmåling!$D$178:$D$182,$B83,$AH$120:$AH$124,BA$3))*-AT83,"")</f>
        <v/>
      </c>
      <c r="BB83" s="29" t="str">
        <f>IF((SUMIFS(Effektmåling!$J$178:$J$182,Effektmåling!$D$178:$D$182,$B83,$AH$120:$AH$124,BB$3))&lt;&gt;0,(SUMIFS(Effektmåling!$J$178:$J$182,Effektmåling!$D$178:$D$182,$B83,$AH$120:$AH$124,BB$3))*-AU83,"")</f>
        <v/>
      </c>
      <c r="BC83" s="29" t="str">
        <f>IF((SUMIFS(Effektmåling!$J$178:$J$182,Effektmåling!$D$178:$D$182,$B83,$AH$120:$AH$124,BC$3))&lt;&gt;0,(SUMIFS(Effektmåling!$J$178:$J$182,Effektmåling!$D$178:$D$182,$B83,$AH$120:$AH$124,BC$3))*-AV83,"")</f>
        <v/>
      </c>
      <c r="BD83" s="29" t="str">
        <f>IF((SUMIFS(Effektmåling!$J$178:$J$182,Effektmåling!$D$178:$D$182,$B83,$AH$120:$AH$124,BD$3))&lt;&gt;0,(SUMIFS(Effektmåling!$J$178:$J$182,Effektmåling!$D$178:$D$182,$B83,$AH$120:$AH$124,BD$3))*-AW83,"")</f>
        <v/>
      </c>
      <c r="BE83" s="29" t="str">
        <f>IF((SUMIFS(Effektmåling!$J$178:$J$182,Effektmåling!$D$178:$D$182,$B83,$AH$120:$AH$124,BE$3))&lt;&gt;0,(SUMIFS(Effektmåling!$J$178:$J$182,Effektmåling!$D$178:$D$182,$B83,$AH$120:$AH$124,BE$3))*-AX83,"")</f>
        <v/>
      </c>
      <c r="BF83" s="29" t="str">
        <f>IF((SUMIFS(Effektmåling!$J$178:$J$182,Effektmåling!$D$178:$D$182,$B83,$AH$120:$AH$124,BF$3))&lt;&gt;0,(SUMIFS(Effektmåling!$J$178:$J$182,Effektmåling!$D$178:$D$182,$B83,$AH$120:$AH$124,BF$3))*-AY83,"")</f>
        <v/>
      </c>
      <c r="BH83" s="29" t="str">
        <f>IF((SUMIFS(Effektmåling!$J$163:$J$167,Effektmåling!$D$163:$D$167,$B83,$AO$120:$AO$124,BH$3))&lt;&gt;0,(SUMIFS(Effektmåling!$J$163:$J$167,Effektmåling!$D$163:$D$167,$B83,$AO$120:$AO$124,BH$3))*-AT83,"")</f>
        <v/>
      </c>
      <c r="BI83" s="29" t="str">
        <f>IF((SUMIFS(Effektmåling!$J$163:$J$167,Effektmåling!$D$163:$D$167,$B83,$AO$120:$AO$124,BI$3))&lt;&gt;0,(SUMIFS(Effektmåling!$J$163:$J$167,Effektmåling!$D$163:$D$167,$B83,$AO$120:$AO$124,BI$3))*-AU83,"")</f>
        <v/>
      </c>
      <c r="BJ83" s="29" t="str">
        <f>IF((SUMIFS(Effektmåling!$J$163:$J$167,Effektmåling!$D$163:$D$167,$B83,$AO$120:$AO$124,BJ$3))&lt;&gt;0,(SUMIFS(Effektmåling!$J$163:$J$167,Effektmåling!$D$163:$D$167,$B83,$AO$120:$AO$124,BJ$3))*-AV83,"")</f>
        <v/>
      </c>
      <c r="BK83" s="29" t="str">
        <f>IF((SUMIFS(Effektmåling!$J$163:$J$167,Effektmåling!$D$163:$D$167,$B83,$AO$120:$AO$124,BK$3))&lt;&gt;0,(SUMIFS(Effektmåling!$J$163:$J$167,Effektmåling!$D$163:$D$167,$B83,$AO$120:$AO$124,BK$3))*-AW83,"")</f>
        <v/>
      </c>
      <c r="BL83" s="29" t="str">
        <f>IF((SUMIFS(Effektmåling!$J$163:$J$167,Effektmåling!$D$163:$D$167,$B83,$AO$120:$AO$124,BL$3))&lt;&gt;0,(SUMIFS(Effektmåling!$J$163:$J$167,Effektmåling!$D$163:$D$167,$B83,$AO$120:$AO$124,BL$3))*-AX83,"")</f>
        <v/>
      </c>
      <c r="BM83" s="29" t="str">
        <f>IF((SUMIFS(Effektmåling!$J$163:$J$167,Effektmåling!$D$163:$D$167,$B83,$AO$120:$AO$124,BM$3))&lt;&gt;0,(SUMIFS(Effektmåling!$J$163:$J$167,Effektmåling!$D$163:$D$167,$B83,$AO$120:$AO$124,BM$3))*-AY83,"")</f>
        <v/>
      </c>
    </row>
    <row r="84" spans="1:65" x14ac:dyDescent="0.15">
      <c r="A84" s="19">
        <f t="shared" si="75"/>
        <v>20</v>
      </c>
      <c r="B84" s="19" t="s">
        <v>266</v>
      </c>
      <c r="C84" s="19">
        <v>1</v>
      </c>
      <c r="D84" s="57">
        <v>0</v>
      </c>
      <c r="E84" s="57">
        <v>0</v>
      </c>
      <c r="F84" s="105">
        <v>-2.7440000000000002</v>
      </c>
      <c r="G84" s="22">
        <v>-1.994</v>
      </c>
      <c r="H84" s="22">
        <f t="shared" si="77"/>
        <v>-2.1644000000000001</v>
      </c>
      <c r="I84" s="57">
        <v>0</v>
      </c>
      <c r="J84" s="57">
        <v>0</v>
      </c>
      <c r="K84" s="114">
        <v>-5.610013461459805</v>
      </c>
      <c r="L84" s="88">
        <v>-0.18287627445653989</v>
      </c>
      <c r="M84" s="88">
        <v>-0.19850421686746988</v>
      </c>
      <c r="O84" s="40">
        <f t="shared" si="78"/>
        <v>-2.7440000000000002</v>
      </c>
      <c r="P84" s="480">
        <f>(IF(Effektmåling!$Q$241="Ja",-0.3*'DB materialer'!D24+G84,G84))-E84</f>
        <v>-1.994</v>
      </c>
      <c r="Q84" s="480">
        <f>(IF(Effektmåling!$Q$241="Ja",1.3*H84,H84))-E84</f>
        <v>-2.1644000000000001</v>
      </c>
      <c r="R84" s="480">
        <f>(IF(Effektmåling!$Q$241="Ja",-0.3*'DB materialer'!D24+G84,G84))-F84</f>
        <v>0.75000000000000022</v>
      </c>
      <c r="S84" s="480">
        <f>(IF(Effektmåling!$Q$241="Ja",1.3*H84,H84))-F84</f>
        <v>0.57960000000000012</v>
      </c>
      <c r="T84" s="480">
        <f>(IF(Effektmåling!$Q$241="Ja",1.3*H84,H84))-(IF(Effektmåling!$Q$241="Ja",-0.3*'DB materialer'!D24+G84,G84))</f>
        <v>-0.17040000000000011</v>
      </c>
      <c r="AE84" s="19">
        <f t="shared" si="76"/>
        <v>18</v>
      </c>
      <c r="AF84" s="29" t="str">
        <f>IF((SUMIFS(Effektmåling!$J$178:$J$182,Effektmåling!$D$178:$D$182,$B84,$AH$120:$AH$124,'DB materialer'!AF$3))&lt;&gt;0,(SUMIFS(Effektmåling!$J$178:$J$182,Effektmåling!$D$178:$D$182,$B84,$AH$120:$AH$124,'DB materialer'!AF$3))*-O84,"")</f>
        <v/>
      </c>
      <c r="AG84" s="29" t="str">
        <f>IF((SUMIFS(Effektmåling!$J$178:$J$182,Effektmåling!$D$178:$D$182,$B84,$AH$120:$AH$124,'DB materialer'!AG$3))&lt;&gt;0,(SUMIFS(Effektmåling!$J$178:$J$182,Effektmåling!$D$178:$D$182,$B84,$AH$120:$AH$124,'DB materialer'!AG$3))*-P84,"")</f>
        <v/>
      </c>
      <c r="AH84" s="29" t="str">
        <f>IF((SUMIFS(Effektmåling!$J$178:$J$182,Effektmåling!$D$178:$D$182,$B84,$AH$120:$AH$124,'DB materialer'!AH$3))&lt;&gt;0,(SUMIFS(Effektmåling!$J$178:$J$182,Effektmåling!$D$178:$D$182,$B84,$AH$120:$AH$124,'DB materialer'!AH$3))*-Q84,"")</f>
        <v/>
      </c>
      <c r="AI84" s="29" t="str">
        <f>IF((SUMIFS(Effektmåling!$J$178:$J$182,Effektmåling!$D$178:$D$182,$B84,$AH$120:$AH$124,'DB materialer'!AI$3))&lt;&gt;0,(SUMIFS(Effektmåling!$J$178:$J$182,Effektmåling!$D$178:$D$182,$B84,$AH$120:$AH$124,'DB materialer'!AI$3))*-R84,"")</f>
        <v/>
      </c>
      <c r="AJ84" s="29" t="str">
        <f>IF((SUMIFS(Effektmåling!$J$178:$J$182,Effektmåling!$D$178:$D$182,$B84,$AH$120:$AH$124,'DB materialer'!AJ$3))&lt;&gt;0,(SUMIFS(Effektmåling!$J$178:$J$182,Effektmåling!$D$178:$D$182,$B84,$AH$120:$AH$124,'DB materialer'!AJ$3))*-S84,"")</f>
        <v/>
      </c>
      <c r="AK84" s="29" t="str">
        <f>IF((SUMIFS(Effektmåling!$J$178:$J$182,Effektmåling!$D$178:$D$182,$B84,$AH$120:$AH$124,'DB materialer'!AK$3))&lt;&gt;0,(SUMIFS(Effektmåling!$J$178:$J$182,Effektmåling!$D$178:$D$182,$B84,$AH$120:$AH$124,'DB materialer'!AK$3))*-T84,"")</f>
        <v/>
      </c>
      <c r="AM84" s="29" t="str">
        <f>IF((SUMIFS(Effektmåling!$J$163:$J$167,Effektmåling!$D$163:$D$167,$B84,$AO$120:$AO$124,'DB materialer'!AM$3))&lt;&gt;0,(SUMIFS(Effektmåling!$J$163:$J$167,Effektmåling!$D$163:$D$167,$B84,$AO$120:$AO$124,'DB materialer'!AM$3))*(-O84)*($C$122),"")</f>
        <v/>
      </c>
      <c r="AN84" s="29" t="str">
        <f>IF((SUMIFS(Effektmåling!$J$163:$J$167,Effektmåling!$D$163:$D$167,$B84,$AO$120:$AO$124,'DB materialer'!AN$3))&lt;&gt;0,(SUMIFS(Effektmåling!$J$163:$J$167,Effektmåling!$D$163:$D$167,$B84,$AO$120:$AO$124,'DB materialer'!AN$3))*(-P84)*($C$122),"")</f>
        <v/>
      </c>
      <c r="AO84" s="29" t="str">
        <f>IF((SUMIFS(Effektmåling!$J$163:$J$167,Effektmåling!$D$163:$D$167,$B84,$AO$120:$AO$124,'DB materialer'!AO$3))&lt;&gt;0,(SUMIFS(Effektmåling!$J$163:$J$167,Effektmåling!$D$163:$D$167,$B84,$AO$120:$AO$124,'DB materialer'!AO$3))*(-Q84)*($C$122),"")</f>
        <v/>
      </c>
      <c r="AP84" s="29" t="str">
        <f>IF((SUMIFS(Effektmåling!$J$163:$J$167,Effektmåling!$D$163:$D$167,$B84,$AO$120:$AO$124,'DB materialer'!AP$3))&lt;&gt;0,(SUMIFS(Effektmåling!$J$163:$J$167,Effektmåling!$D$163:$D$167,$B84,$AO$120:$AO$124,'DB materialer'!AP$3))*(-R84)*($C$122),"")</f>
        <v/>
      </c>
      <c r="AQ84" s="29" t="str">
        <f>IF((SUMIFS(Effektmåling!$J$163:$J$167,Effektmåling!$D$163:$D$167,$B84,$AO$120:$AO$124,'DB materialer'!AQ$3))&lt;&gt;0,(SUMIFS(Effektmåling!$J$163:$J$167,Effektmåling!$D$163:$D$167,$B84,$AO$120:$AO$124,'DB materialer'!AQ$3))*(-S84)*($C$122),"")</f>
        <v/>
      </c>
      <c r="AR84" s="29" t="str">
        <f>IF((SUMIFS(Effektmåling!$J$163:$J$167,Effektmåling!$D$163:$D$167,$B84,$AO$120:$AO$124,'DB materialer'!AR$3))&lt;&gt;0,(SUMIFS(Effektmåling!$J$163:$J$167,Effektmåling!$D$163:$D$167,$B84,$AO$120:$AO$124,'DB materialer'!AR$3))*(-T84)*($C$122),"")</f>
        <v/>
      </c>
      <c r="AT84" s="30">
        <f t="shared" si="79"/>
        <v>-5.610013461459805</v>
      </c>
      <c r="AU84" s="40">
        <f t="shared" si="80"/>
        <v>-0.18287627445653989</v>
      </c>
      <c r="AV84" s="41">
        <f t="shared" si="81"/>
        <v>-0.19850421686746988</v>
      </c>
      <c r="AW84" s="40">
        <f t="shared" si="82"/>
        <v>5.4271371870032654</v>
      </c>
      <c r="AX84" s="41">
        <f t="shared" si="83"/>
        <v>5.4115092445923354</v>
      </c>
      <c r="AY84" s="41">
        <f t="shared" si="84"/>
        <v>-1.562794241092999E-2</v>
      </c>
      <c r="BA84" s="29" t="str">
        <f>IF((SUMIFS(Effektmåling!$J$178:$J$182,Effektmåling!$D$178:$D$182,$B84,$AH$120:$AH$124,BA$3))&lt;&gt;0,(SUMIFS(Effektmåling!$J$178:$J$182,Effektmåling!$D$178:$D$182,$B84,$AH$120:$AH$124,BA$3))*-AT84,"")</f>
        <v/>
      </c>
      <c r="BB84" s="29" t="str">
        <f>IF((SUMIFS(Effektmåling!$J$178:$J$182,Effektmåling!$D$178:$D$182,$B84,$AH$120:$AH$124,BB$3))&lt;&gt;0,(SUMIFS(Effektmåling!$J$178:$J$182,Effektmåling!$D$178:$D$182,$B84,$AH$120:$AH$124,BB$3))*-AU84,"")</f>
        <v/>
      </c>
      <c r="BC84" s="29" t="str">
        <f>IF((SUMIFS(Effektmåling!$J$178:$J$182,Effektmåling!$D$178:$D$182,$B84,$AH$120:$AH$124,BC$3))&lt;&gt;0,(SUMIFS(Effektmåling!$J$178:$J$182,Effektmåling!$D$178:$D$182,$B84,$AH$120:$AH$124,BC$3))*-AV84,"")</f>
        <v/>
      </c>
      <c r="BD84" s="29" t="str">
        <f>IF((SUMIFS(Effektmåling!$J$178:$J$182,Effektmåling!$D$178:$D$182,$B84,$AH$120:$AH$124,BD$3))&lt;&gt;0,(SUMIFS(Effektmåling!$J$178:$J$182,Effektmåling!$D$178:$D$182,$B84,$AH$120:$AH$124,BD$3))*-AW84,"")</f>
        <v/>
      </c>
      <c r="BE84" s="29" t="str">
        <f>IF((SUMIFS(Effektmåling!$J$178:$J$182,Effektmåling!$D$178:$D$182,$B84,$AH$120:$AH$124,BE$3))&lt;&gt;0,(SUMIFS(Effektmåling!$J$178:$J$182,Effektmåling!$D$178:$D$182,$B84,$AH$120:$AH$124,BE$3))*-AX84,"")</f>
        <v/>
      </c>
      <c r="BF84" s="29" t="str">
        <f>IF((SUMIFS(Effektmåling!$J$178:$J$182,Effektmåling!$D$178:$D$182,$B84,$AH$120:$AH$124,BF$3))&lt;&gt;0,(SUMIFS(Effektmåling!$J$178:$J$182,Effektmåling!$D$178:$D$182,$B84,$AH$120:$AH$124,BF$3))*-AY84,"")</f>
        <v/>
      </c>
      <c r="BH84" s="29" t="str">
        <f>IF((SUMIFS(Effektmåling!$J$163:$J$167,Effektmåling!$D$163:$D$167,$B84,$AO$120:$AO$124,BH$3))&lt;&gt;0,(SUMIFS(Effektmåling!$J$163:$J$167,Effektmåling!$D$163:$D$167,$B84,$AO$120:$AO$124,BH$3))*-AT84,"")</f>
        <v/>
      </c>
      <c r="BI84" s="29" t="str">
        <f>IF((SUMIFS(Effektmåling!$J$163:$J$167,Effektmåling!$D$163:$D$167,$B84,$AO$120:$AO$124,BI$3))&lt;&gt;0,(SUMIFS(Effektmåling!$J$163:$J$167,Effektmåling!$D$163:$D$167,$B84,$AO$120:$AO$124,BI$3))*-AU84,"")</f>
        <v/>
      </c>
      <c r="BJ84" s="29" t="str">
        <f>IF((SUMIFS(Effektmåling!$J$163:$J$167,Effektmåling!$D$163:$D$167,$B84,$AO$120:$AO$124,BJ$3))&lt;&gt;0,(SUMIFS(Effektmåling!$J$163:$J$167,Effektmåling!$D$163:$D$167,$B84,$AO$120:$AO$124,BJ$3))*-AV84,"")</f>
        <v/>
      </c>
      <c r="BK84" s="29" t="str">
        <f>IF((SUMIFS(Effektmåling!$J$163:$J$167,Effektmåling!$D$163:$D$167,$B84,$AO$120:$AO$124,BK$3))&lt;&gt;0,(SUMIFS(Effektmåling!$J$163:$J$167,Effektmåling!$D$163:$D$167,$B84,$AO$120:$AO$124,BK$3))*-AW84,"")</f>
        <v/>
      </c>
      <c r="BL84" s="29" t="str">
        <f>IF((SUMIFS(Effektmåling!$J$163:$J$167,Effektmåling!$D$163:$D$167,$B84,$AO$120:$AO$124,BL$3))&lt;&gt;0,(SUMIFS(Effektmåling!$J$163:$J$167,Effektmåling!$D$163:$D$167,$B84,$AO$120:$AO$124,BL$3))*-AX84,"")</f>
        <v/>
      </c>
      <c r="BM84" s="29" t="str">
        <f>IF((SUMIFS(Effektmåling!$J$163:$J$167,Effektmåling!$D$163:$D$167,$B84,$AO$120:$AO$124,BM$3))&lt;&gt;0,(SUMIFS(Effektmåling!$J$163:$J$167,Effektmåling!$D$163:$D$167,$B84,$AO$120:$AO$124,BM$3))*-AY84,"")</f>
        <v/>
      </c>
    </row>
    <row r="85" spans="1:65" x14ac:dyDescent="0.15">
      <c r="A85" s="19">
        <f t="shared" si="75"/>
        <v>21</v>
      </c>
      <c r="B85" s="19" t="s">
        <v>267</v>
      </c>
      <c r="C85" s="19">
        <v>1</v>
      </c>
      <c r="D85" s="57">
        <v>0</v>
      </c>
      <c r="E85" s="57">
        <v>0</v>
      </c>
      <c r="F85" s="105">
        <v>-2.7440000000000002</v>
      </c>
      <c r="G85" s="22">
        <v>-1.833</v>
      </c>
      <c r="H85" s="22">
        <f t="shared" si="77"/>
        <v>-1.9885999999999999</v>
      </c>
      <c r="I85" s="57">
        <v>0</v>
      </c>
      <c r="J85" s="57">
        <v>0</v>
      </c>
      <c r="K85" s="114">
        <v>-8.695520865262699</v>
      </c>
      <c r="L85" s="88">
        <v>-0.18297205547524503</v>
      </c>
      <c r="M85" s="88">
        <v>-0.19850421686746988</v>
      </c>
      <c r="O85" s="40">
        <f t="shared" si="78"/>
        <v>-2.7440000000000002</v>
      </c>
      <c r="P85" s="480">
        <f>(IF(Effektmåling!$Q$241="Ja",-0.3*'DB materialer'!D25+G85,G85))-E85</f>
        <v>-1.833</v>
      </c>
      <c r="Q85" s="480">
        <f>(IF(Effektmåling!$Q$241="Ja",1.3*H85,H85))-E85</f>
        <v>-1.9885999999999999</v>
      </c>
      <c r="R85" s="480">
        <f>(IF(Effektmåling!$Q$241="Ja",-0.3*'DB materialer'!D25+G85,G85))-F85</f>
        <v>0.91100000000000025</v>
      </c>
      <c r="S85" s="480">
        <f>(IF(Effektmåling!$Q$241="Ja",1.3*H85,H85))-F85</f>
        <v>0.75540000000000029</v>
      </c>
      <c r="T85" s="480">
        <f>(IF(Effektmåling!$Q$241="Ja",1.3*H85,H85))-(IF(Effektmåling!$Q$241="Ja",-0.3*'DB materialer'!D25+G85,G85))</f>
        <v>-0.15559999999999996</v>
      </c>
      <c r="AE85" s="19">
        <f t="shared" si="76"/>
        <v>19</v>
      </c>
      <c r="AF85" s="29" t="str">
        <f>IF((SUMIFS(Effektmåling!$J$178:$J$182,Effektmåling!$D$178:$D$182,$B85,$AH$120:$AH$124,'DB materialer'!AF$3))&lt;&gt;0,(SUMIFS(Effektmåling!$J$178:$J$182,Effektmåling!$D$178:$D$182,$B85,$AH$120:$AH$124,'DB materialer'!AF$3))*-O85,"")</f>
        <v/>
      </c>
      <c r="AG85" s="29" t="str">
        <f>IF((SUMIFS(Effektmåling!$J$178:$J$182,Effektmåling!$D$178:$D$182,$B85,$AH$120:$AH$124,'DB materialer'!AG$3))&lt;&gt;0,(SUMIFS(Effektmåling!$J$178:$J$182,Effektmåling!$D$178:$D$182,$B85,$AH$120:$AH$124,'DB materialer'!AG$3))*-P85,"")</f>
        <v/>
      </c>
      <c r="AH85" s="29" t="str">
        <f>IF((SUMIFS(Effektmåling!$J$178:$J$182,Effektmåling!$D$178:$D$182,$B85,$AH$120:$AH$124,'DB materialer'!AH$3))&lt;&gt;0,(SUMIFS(Effektmåling!$J$178:$J$182,Effektmåling!$D$178:$D$182,$B85,$AH$120:$AH$124,'DB materialer'!AH$3))*-Q85,"")</f>
        <v/>
      </c>
      <c r="AI85" s="29" t="str">
        <f>IF((SUMIFS(Effektmåling!$J$178:$J$182,Effektmåling!$D$178:$D$182,$B85,$AH$120:$AH$124,'DB materialer'!AI$3))&lt;&gt;0,(SUMIFS(Effektmåling!$J$178:$J$182,Effektmåling!$D$178:$D$182,$B85,$AH$120:$AH$124,'DB materialer'!AI$3))*-R85,"")</f>
        <v/>
      </c>
      <c r="AJ85" s="29" t="str">
        <f>IF((SUMIFS(Effektmåling!$J$178:$J$182,Effektmåling!$D$178:$D$182,$B85,$AH$120:$AH$124,'DB materialer'!AJ$3))&lt;&gt;0,(SUMIFS(Effektmåling!$J$178:$J$182,Effektmåling!$D$178:$D$182,$B85,$AH$120:$AH$124,'DB materialer'!AJ$3))*-S85,"")</f>
        <v/>
      </c>
      <c r="AK85" s="29" t="str">
        <f>IF((SUMIFS(Effektmåling!$J$178:$J$182,Effektmåling!$D$178:$D$182,$B85,$AH$120:$AH$124,'DB materialer'!AK$3))&lt;&gt;0,(SUMIFS(Effektmåling!$J$178:$J$182,Effektmåling!$D$178:$D$182,$B85,$AH$120:$AH$124,'DB materialer'!AK$3))*-T85,"")</f>
        <v/>
      </c>
      <c r="AM85" s="29" t="str">
        <f>IF((SUMIFS(Effektmåling!$J$163:$J$167,Effektmåling!$D$163:$D$167,$B85,$AO$120:$AO$124,'DB materialer'!AM$3))&lt;&gt;0,(SUMIFS(Effektmåling!$J$163:$J$167,Effektmåling!$D$163:$D$167,$B85,$AO$120:$AO$124,'DB materialer'!AM$3))*(-O85)*($C$122),"")</f>
        <v/>
      </c>
      <c r="AN85" s="29" t="str">
        <f>IF((SUMIFS(Effektmåling!$J$163:$J$167,Effektmåling!$D$163:$D$167,$B85,$AO$120:$AO$124,'DB materialer'!AN$3))&lt;&gt;0,(SUMIFS(Effektmåling!$J$163:$J$167,Effektmåling!$D$163:$D$167,$B85,$AO$120:$AO$124,'DB materialer'!AN$3))*(-P85)*($C$122),"")</f>
        <v/>
      </c>
      <c r="AO85" s="29" t="str">
        <f>IF((SUMIFS(Effektmåling!$J$163:$J$167,Effektmåling!$D$163:$D$167,$B85,$AO$120:$AO$124,'DB materialer'!AO$3))&lt;&gt;0,(SUMIFS(Effektmåling!$J$163:$J$167,Effektmåling!$D$163:$D$167,$B85,$AO$120:$AO$124,'DB materialer'!AO$3))*(-Q85)*($C$122),"")</f>
        <v/>
      </c>
      <c r="AP85" s="29" t="str">
        <f>IF((SUMIFS(Effektmåling!$J$163:$J$167,Effektmåling!$D$163:$D$167,$B85,$AO$120:$AO$124,'DB materialer'!AP$3))&lt;&gt;0,(SUMIFS(Effektmåling!$J$163:$J$167,Effektmåling!$D$163:$D$167,$B85,$AO$120:$AO$124,'DB materialer'!AP$3))*(-R85)*($C$122),"")</f>
        <v/>
      </c>
      <c r="AQ85" s="29" t="str">
        <f>IF((SUMIFS(Effektmåling!$J$163:$J$167,Effektmåling!$D$163:$D$167,$B85,$AO$120:$AO$124,'DB materialer'!AQ$3))&lt;&gt;0,(SUMIFS(Effektmåling!$J$163:$J$167,Effektmåling!$D$163:$D$167,$B85,$AO$120:$AO$124,'DB materialer'!AQ$3))*(-S85)*($C$122),"")</f>
        <v/>
      </c>
      <c r="AR85" s="29" t="str">
        <f>IF((SUMIFS(Effektmåling!$J$163:$J$167,Effektmåling!$D$163:$D$167,$B85,$AO$120:$AO$124,'DB materialer'!AR$3))&lt;&gt;0,(SUMIFS(Effektmåling!$J$163:$J$167,Effektmåling!$D$163:$D$167,$B85,$AO$120:$AO$124,'DB materialer'!AR$3))*(-T85)*($C$122),"")</f>
        <v/>
      </c>
      <c r="AT85" s="30">
        <f t="shared" si="79"/>
        <v>-8.695520865262699</v>
      </c>
      <c r="AU85" s="40">
        <f t="shared" si="80"/>
        <v>-0.18297205547524503</v>
      </c>
      <c r="AV85" s="41">
        <f t="shared" si="81"/>
        <v>-0.19850421686746988</v>
      </c>
      <c r="AW85" s="40">
        <f t="shared" si="82"/>
        <v>8.5125488097874538</v>
      </c>
      <c r="AX85" s="41">
        <f t="shared" si="83"/>
        <v>8.4970166483952294</v>
      </c>
      <c r="AY85" s="41">
        <f t="shared" si="84"/>
        <v>-1.5532161392224852E-2</v>
      </c>
      <c r="BA85" s="29" t="str">
        <f>IF((SUMIFS(Effektmåling!$J$178:$J$182,Effektmåling!$D$178:$D$182,$B85,$AH$120:$AH$124,BA$3))&lt;&gt;0,(SUMIFS(Effektmåling!$J$178:$J$182,Effektmåling!$D$178:$D$182,$B85,$AH$120:$AH$124,BA$3))*-AT85,"")</f>
        <v/>
      </c>
      <c r="BB85" s="29" t="str">
        <f>IF((SUMIFS(Effektmåling!$J$178:$J$182,Effektmåling!$D$178:$D$182,$B85,$AH$120:$AH$124,BB$3))&lt;&gt;0,(SUMIFS(Effektmåling!$J$178:$J$182,Effektmåling!$D$178:$D$182,$B85,$AH$120:$AH$124,BB$3))*-AU85,"")</f>
        <v/>
      </c>
      <c r="BC85" s="29" t="str">
        <f>IF((SUMIFS(Effektmåling!$J$178:$J$182,Effektmåling!$D$178:$D$182,$B85,$AH$120:$AH$124,BC$3))&lt;&gt;0,(SUMIFS(Effektmåling!$J$178:$J$182,Effektmåling!$D$178:$D$182,$B85,$AH$120:$AH$124,BC$3))*-AV85,"")</f>
        <v/>
      </c>
      <c r="BD85" s="29" t="str">
        <f>IF((SUMIFS(Effektmåling!$J$178:$J$182,Effektmåling!$D$178:$D$182,$B85,$AH$120:$AH$124,BD$3))&lt;&gt;0,(SUMIFS(Effektmåling!$J$178:$J$182,Effektmåling!$D$178:$D$182,$B85,$AH$120:$AH$124,BD$3))*-AW85,"")</f>
        <v/>
      </c>
      <c r="BE85" s="29" t="str">
        <f>IF((SUMIFS(Effektmåling!$J$178:$J$182,Effektmåling!$D$178:$D$182,$B85,$AH$120:$AH$124,BE$3))&lt;&gt;0,(SUMIFS(Effektmåling!$J$178:$J$182,Effektmåling!$D$178:$D$182,$B85,$AH$120:$AH$124,BE$3))*-AX85,"")</f>
        <v/>
      </c>
      <c r="BF85" s="29" t="str">
        <f>IF((SUMIFS(Effektmåling!$J$178:$J$182,Effektmåling!$D$178:$D$182,$B85,$AH$120:$AH$124,BF$3))&lt;&gt;0,(SUMIFS(Effektmåling!$J$178:$J$182,Effektmåling!$D$178:$D$182,$B85,$AH$120:$AH$124,BF$3))*-AY85,"")</f>
        <v/>
      </c>
      <c r="BH85" s="29" t="str">
        <f>IF((SUMIFS(Effektmåling!$J$163:$J$167,Effektmåling!$D$163:$D$167,$B85,$AO$120:$AO$124,BH$3))&lt;&gt;0,(SUMIFS(Effektmåling!$J$163:$J$167,Effektmåling!$D$163:$D$167,$B85,$AO$120:$AO$124,BH$3))*-AT85,"")</f>
        <v/>
      </c>
      <c r="BI85" s="29" t="str">
        <f>IF((SUMIFS(Effektmåling!$J$163:$J$167,Effektmåling!$D$163:$D$167,$B85,$AO$120:$AO$124,BI$3))&lt;&gt;0,(SUMIFS(Effektmåling!$J$163:$J$167,Effektmåling!$D$163:$D$167,$B85,$AO$120:$AO$124,BI$3))*-AU85,"")</f>
        <v/>
      </c>
      <c r="BJ85" s="29" t="str">
        <f>IF((SUMIFS(Effektmåling!$J$163:$J$167,Effektmåling!$D$163:$D$167,$B85,$AO$120:$AO$124,BJ$3))&lt;&gt;0,(SUMIFS(Effektmåling!$J$163:$J$167,Effektmåling!$D$163:$D$167,$B85,$AO$120:$AO$124,BJ$3))*-AV85,"")</f>
        <v/>
      </c>
      <c r="BK85" s="29" t="str">
        <f>IF((SUMIFS(Effektmåling!$J$163:$J$167,Effektmåling!$D$163:$D$167,$B85,$AO$120:$AO$124,BK$3))&lt;&gt;0,(SUMIFS(Effektmåling!$J$163:$J$167,Effektmåling!$D$163:$D$167,$B85,$AO$120:$AO$124,BK$3))*-AW85,"")</f>
        <v/>
      </c>
      <c r="BL85" s="29" t="str">
        <f>IF((SUMIFS(Effektmåling!$J$163:$J$167,Effektmåling!$D$163:$D$167,$B85,$AO$120:$AO$124,BL$3))&lt;&gt;0,(SUMIFS(Effektmåling!$J$163:$J$167,Effektmåling!$D$163:$D$167,$B85,$AO$120:$AO$124,BL$3))*-AX85,"")</f>
        <v/>
      </c>
      <c r="BM85" s="29" t="str">
        <f>IF((SUMIFS(Effektmåling!$J$163:$J$167,Effektmåling!$D$163:$D$167,$B85,$AO$120:$AO$124,BM$3))&lt;&gt;0,(SUMIFS(Effektmåling!$J$163:$J$167,Effektmåling!$D$163:$D$167,$B85,$AO$120:$AO$124,BM$3))*-AY85,"")</f>
        <v/>
      </c>
    </row>
    <row r="86" spans="1:65" ht="9.6" customHeight="1" x14ac:dyDescent="0.15">
      <c r="A86" s="19">
        <f t="shared" si="75"/>
        <v>22</v>
      </c>
      <c r="B86" s="19" t="s">
        <v>268</v>
      </c>
      <c r="C86" s="19">
        <v>1</v>
      </c>
      <c r="D86" s="57">
        <v>0</v>
      </c>
      <c r="E86" s="57">
        <v>0</v>
      </c>
      <c r="F86" s="105">
        <v>-0.627</v>
      </c>
      <c r="G86" s="22">
        <v>-3.2549999999999999</v>
      </c>
      <c r="H86" s="22">
        <f t="shared" si="77"/>
        <v>-3.5327000000000002</v>
      </c>
      <c r="I86" s="57">
        <v>0</v>
      </c>
      <c r="J86" s="57">
        <v>0</v>
      </c>
      <c r="K86" s="114">
        <v>-4.427903482080775</v>
      </c>
      <c r="L86" s="88">
        <v>-0.18290011206828047</v>
      </c>
      <c r="M86" s="88">
        <v>-0.19850421686746988</v>
      </c>
      <c r="O86" s="40">
        <f t="shared" si="78"/>
        <v>-0.627</v>
      </c>
      <c r="P86" s="480">
        <f>(IF(Effektmåling!$Q$241="Ja",-0.3*'DB materialer'!D26+G86,G86))-E86</f>
        <v>-3.2549999999999999</v>
      </c>
      <c r="Q86" s="480">
        <f>(IF(Effektmåling!$Q$241="Ja",1.3*H86,H86))-E86</f>
        <v>-3.5327000000000002</v>
      </c>
      <c r="R86" s="480">
        <f>(IF(Effektmåling!$Q$241="Ja",-0.3*'DB materialer'!D26+G86,G86))-F86</f>
        <v>-2.6280000000000001</v>
      </c>
      <c r="S86" s="480">
        <f>(IF(Effektmåling!$Q$241="Ja",1.3*H86,H86))-F86</f>
        <v>-2.9057000000000004</v>
      </c>
      <c r="T86" s="480">
        <f>(IF(Effektmåling!$Q$241="Ja",1.3*H86,H86))-(IF(Effektmåling!$Q$241="Ja",-0.3*'DB materialer'!D26+G86,G86))</f>
        <v>-0.27770000000000028</v>
      </c>
      <c r="AE86" s="19">
        <f t="shared" si="76"/>
        <v>20</v>
      </c>
      <c r="AF86" s="29" t="str">
        <f>IF((SUMIFS(Effektmåling!$J$178:$J$182,Effektmåling!$D$178:$D$182,$B86,$AH$120:$AH$124,'DB materialer'!AF$3))&lt;&gt;0,(SUMIFS(Effektmåling!$J$178:$J$182,Effektmåling!$D$178:$D$182,$B86,$AH$120:$AH$124,'DB materialer'!AF$3))*-O86,"")</f>
        <v/>
      </c>
      <c r="AG86" s="29" t="str">
        <f>IF((SUMIFS(Effektmåling!$J$178:$J$182,Effektmåling!$D$178:$D$182,$B86,$AH$120:$AH$124,'DB materialer'!AG$3))&lt;&gt;0,(SUMIFS(Effektmåling!$J$178:$J$182,Effektmåling!$D$178:$D$182,$B86,$AH$120:$AH$124,'DB materialer'!AG$3))*-P86,"")</f>
        <v/>
      </c>
      <c r="AH86" s="29" t="str">
        <f>IF((SUMIFS(Effektmåling!$J$178:$J$182,Effektmåling!$D$178:$D$182,$B86,$AH$120:$AH$124,'DB materialer'!AH$3))&lt;&gt;0,(SUMIFS(Effektmåling!$J$178:$J$182,Effektmåling!$D$178:$D$182,$B86,$AH$120:$AH$124,'DB materialer'!AH$3))*-Q86,"")</f>
        <v/>
      </c>
      <c r="AI86" s="29" t="str">
        <f>IF((SUMIFS(Effektmåling!$J$178:$J$182,Effektmåling!$D$178:$D$182,$B86,$AH$120:$AH$124,'DB materialer'!AI$3))&lt;&gt;0,(SUMIFS(Effektmåling!$J$178:$J$182,Effektmåling!$D$178:$D$182,$B86,$AH$120:$AH$124,'DB materialer'!AI$3))*-R86,"")</f>
        <v/>
      </c>
      <c r="AJ86" s="29" t="str">
        <f>IF((SUMIFS(Effektmåling!$J$178:$J$182,Effektmåling!$D$178:$D$182,$B86,$AH$120:$AH$124,'DB materialer'!AJ$3))&lt;&gt;0,(SUMIFS(Effektmåling!$J$178:$J$182,Effektmåling!$D$178:$D$182,$B86,$AH$120:$AH$124,'DB materialer'!AJ$3))*-S86,"")</f>
        <v/>
      </c>
      <c r="AK86" s="29" t="str">
        <f>IF((SUMIFS(Effektmåling!$J$178:$J$182,Effektmåling!$D$178:$D$182,$B86,$AH$120:$AH$124,'DB materialer'!AK$3))&lt;&gt;0,(SUMIFS(Effektmåling!$J$178:$J$182,Effektmåling!$D$178:$D$182,$B86,$AH$120:$AH$124,'DB materialer'!AK$3))*-T86,"")</f>
        <v/>
      </c>
      <c r="AM86" s="29" t="str">
        <f>IF((SUMIFS(Effektmåling!$J$163:$J$167,Effektmåling!$D$163:$D$167,$B86,$AO$120:$AO$124,'DB materialer'!AM$3))&lt;&gt;0,(SUMIFS(Effektmåling!$J$163:$J$167,Effektmåling!$D$163:$D$167,$B86,$AO$120:$AO$124,'DB materialer'!AM$3))*(-O86)*($C$122),"")</f>
        <v/>
      </c>
      <c r="AN86" s="29" t="str">
        <f>IF((SUMIFS(Effektmåling!$J$163:$J$167,Effektmåling!$D$163:$D$167,$B86,$AO$120:$AO$124,'DB materialer'!AN$3))&lt;&gt;0,(SUMIFS(Effektmåling!$J$163:$J$167,Effektmåling!$D$163:$D$167,$B86,$AO$120:$AO$124,'DB materialer'!AN$3))*(-P86)*($C$122),"")</f>
        <v/>
      </c>
      <c r="AO86" s="29" t="str">
        <f>IF((SUMIFS(Effektmåling!$J$163:$J$167,Effektmåling!$D$163:$D$167,$B86,$AO$120:$AO$124,'DB materialer'!AO$3))&lt;&gt;0,(SUMIFS(Effektmåling!$J$163:$J$167,Effektmåling!$D$163:$D$167,$B86,$AO$120:$AO$124,'DB materialer'!AO$3))*(-Q86)*($C$122),"")</f>
        <v/>
      </c>
      <c r="AP86" s="29" t="str">
        <f>IF((SUMIFS(Effektmåling!$J$163:$J$167,Effektmåling!$D$163:$D$167,$B86,$AO$120:$AO$124,'DB materialer'!AP$3))&lt;&gt;0,(SUMIFS(Effektmåling!$J$163:$J$167,Effektmåling!$D$163:$D$167,$B86,$AO$120:$AO$124,'DB materialer'!AP$3))*(-R86)*($C$122),"")</f>
        <v/>
      </c>
      <c r="AQ86" s="29" t="str">
        <f>IF((SUMIFS(Effektmåling!$J$163:$J$167,Effektmåling!$D$163:$D$167,$B86,$AO$120:$AO$124,'DB materialer'!AQ$3))&lt;&gt;0,(SUMIFS(Effektmåling!$J$163:$J$167,Effektmåling!$D$163:$D$167,$B86,$AO$120:$AO$124,'DB materialer'!AQ$3))*(-S86)*($C$122),"")</f>
        <v/>
      </c>
      <c r="AR86" s="29" t="str">
        <f>IF((SUMIFS(Effektmåling!$J$163:$J$167,Effektmåling!$D$163:$D$167,$B86,$AO$120:$AO$124,'DB materialer'!AR$3))&lt;&gt;0,(SUMIFS(Effektmåling!$J$163:$J$167,Effektmåling!$D$163:$D$167,$B86,$AO$120:$AO$124,'DB materialer'!AR$3))*(-T86)*($C$122),"")</f>
        <v/>
      </c>
      <c r="AT86" s="30">
        <f t="shared" si="79"/>
        <v>-4.427903482080775</v>
      </c>
      <c r="AU86" s="40">
        <f t="shared" si="80"/>
        <v>-0.18290011206828047</v>
      </c>
      <c r="AV86" s="41">
        <f t="shared" si="81"/>
        <v>-0.19850421686746988</v>
      </c>
      <c r="AW86" s="40">
        <f t="shared" si="82"/>
        <v>4.2450033700124949</v>
      </c>
      <c r="AX86" s="41">
        <f t="shared" si="83"/>
        <v>4.2293992652133054</v>
      </c>
      <c r="AY86" s="41">
        <f t="shared" si="84"/>
        <v>-1.5604104799189417E-2</v>
      </c>
      <c r="BA86" s="29" t="str">
        <f>IF((SUMIFS(Effektmåling!$J$178:$J$182,Effektmåling!$D$178:$D$182,$B86,$AH$120:$AH$124,BA$3))&lt;&gt;0,(SUMIFS(Effektmåling!$J$178:$J$182,Effektmåling!$D$178:$D$182,$B86,$AH$120:$AH$124,BA$3))*-AT86,"")</f>
        <v/>
      </c>
      <c r="BB86" s="29" t="str">
        <f>IF((SUMIFS(Effektmåling!$J$178:$J$182,Effektmåling!$D$178:$D$182,$B86,$AH$120:$AH$124,BB$3))&lt;&gt;0,(SUMIFS(Effektmåling!$J$178:$J$182,Effektmåling!$D$178:$D$182,$B86,$AH$120:$AH$124,BB$3))*-AU86,"")</f>
        <v/>
      </c>
      <c r="BC86" s="29" t="str">
        <f>IF((SUMIFS(Effektmåling!$J$178:$J$182,Effektmåling!$D$178:$D$182,$B86,$AH$120:$AH$124,BC$3))&lt;&gt;0,(SUMIFS(Effektmåling!$J$178:$J$182,Effektmåling!$D$178:$D$182,$B86,$AH$120:$AH$124,BC$3))*-AV86,"")</f>
        <v/>
      </c>
      <c r="BD86" s="29" t="str">
        <f>IF((SUMIFS(Effektmåling!$J$178:$J$182,Effektmåling!$D$178:$D$182,$B86,$AH$120:$AH$124,BD$3))&lt;&gt;0,(SUMIFS(Effektmåling!$J$178:$J$182,Effektmåling!$D$178:$D$182,$B86,$AH$120:$AH$124,BD$3))*-AW86,"")</f>
        <v/>
      </c>
      <c r="BE86" s="29" t="str">
        <f>IF((SUMIFS(Effektmåling!$J$178:$J$182,Effektmåling!$D$178:$D$182,$B86,$AH$120:$AH$124,BE$3))&lt;&gt;0,(SUMIFS(Effektmåling!$J$178:$J$182,Effektmåling!$D$178:$D$182,$B86,$AH$120:$AH$124,BE$3))*-AX86,"")</f>
        <v/>
      </c>
      <c r="BF86" s="29" t="str">
        <f>IF((SUMIFS(Effektmåling!$J$178:$J$182,Effektmåling!$D$178:$D$182,$B86,$AH$120:$AH$124,BF$3))&lt;&gt;0,(SUMIFS(Effektmåling!$J$178:$J$182,Effektmåling!$D$178:$D$182,$B86,$AH$120:$AH$124,BF$3))*-AY86,"")</f>
        <v/>
      </c>
      <c r="BH86" s="29" t="str">
        <f>IF((SUMIFS(Effektmåling!$J$163:$J$167,Effektmåling!$D$163:$D$167,$B86,$AO$120:$AO$124,BH$3))&lt;&gt;0,(SUMIFS(Effektmåling!$J$163:$J$167,Effektmåling!$D$163:$D$167,$B86,$AO$120:$AO$124,BH$3))*-AT86,"")</f>
        <v/>
      </c>
      <c r="BI86" s="29" t="str">
        <f>IF((SUMIFS(Effektmåling!$J$163:$J$167,Effektmåling!$D$163:$D$167,$B86,$AO$120:$AO$124,BI$3))&lt;&gt;0,(SUMIFS(Effektmåling!$J$163:$J$167,Effektmåling!$D$163:$D$167,$B86,$AO$120:$AO$124,BI$3))*-AU86,"")</f>
        <v/>
      </c>
      <c r="BJ86" s="29" t="str">
        <f>IF((SUMIFS(Effektmåling!$J$163:$J$167,Effektmåling!$D$163:$D$167,$B86,$AO$120:$AO$124,BJ$3))&lt;&gt;0,(SUMIFS(Effektmåling!$J$163:$J$167,Effektmåling!$D$163:$D$167,$B86,$AO$120:$AO$124,BJ$3))*-AV86,"")</f>
        <v/>
      </c>
      <c r="BK86" s="29" t="str">
        <f>IF((SUMIFS(Effektmåling!$J$163:$J$167,Effektmåling!$D$163:$D$167,$B86,$AO$120:$AO$124,BK$3))&lt;&gt;0,(SUMIFS(Effektmåling!$J$163:$J$167,Effektmåling!$D$163:$D$167,$B86,$AO$120:$AO$124,BK$3))*-AW86,"")</f>
        <v/>
      </c>
      <c r="BL86" s="29" t="str">
        <f>IF((SUMIFS(Effektmåling!$J$163:$J$167,Effektmåling!$D$163:$D$167,$B86,$AO$120:$AO$124,BL$3))&lt;&gt;0,(SUMIFS(Effektmåling!$J$163:$J$167,Effektmåling!$D$163:$D$167,$B86,$AO$120:$AO$124,BL$3))*-AX86,"")</f>
        <v/>
      </c>
      <c r="BM86" s="29" t="str">
        <f>IF((SUMIFS(Effektmåling!$J$163:$J$167,Effektmåling!$D$163:$D$167,$B86,$AO$120:$AO$124,BM$3))&lt;&gt;0,(SUMIFS(Effektmåling!$J$163:$J$167,Effektmåling!$D$163:$D$167,$B86,$AO$120:$AO$124,BM$3))*-AY86,"")</f>
        <v/>
      </c>
    </row>
    <row r="87" spans="1:65" x14ac:dyDescent="0.15">
      <c r="A87" s="19">
        <f t="shared" si="75"/>
        <v>23</v>
      </c>
      <c r="B87" s="19" t="s">
        <v>269</v>
      </c>
      <c r="C87" s="19">
        <v>1</v>
      </c>
      <c r="D87" s="57">
        <v>0</v>
      </c>
      <c r="E87" s="57">
        <v>0</v>
      </c>
      <c r="F87" s="105">
        <v>-2.7440000000000002</v>
      </c>
      <c r="G87" s="22">
        <v>-1.8640000000000001</v>
      </c>
      <c r="H87" s="22">
        <f t="shared" si="77"/>
        <v>-2.0230000000000001</v>
      </c>
      <c r="I87" s="57">
        <v>0</v>
      </c>
      <c r="J87" s="57">
        <v>0</v>
      </c>
      <c r="K87" s="114">
        <v>-7.61358969769545</v>
      </c>
      <c r="L87" s="88">
        <v>-0.18290255078643788</v>
      </c>
      <c r="M87" s="88">
        <v>-0.19850421686746988</v>
      </c>
      <c r="O87" s="40">
        <f t="shared" si="78"/>
        <v>-2.7440000000000002</v>
      </c>
      <c r="P87" s="480">
        <f>(IF(Effektmåling!$Q$241="Ja",-0.3*'DB materialer'!D27+G87,G87))-E87</f>
        <v>-1.8640000000000001</v>
      </c>
      <c r="Q87" s="480">
        <f>(IF(Effektmåling!$Q$241="Ja",1.3*H87,H87))-E87</f>
        <v>-2.0230000000000001</v>
      </c>
      <c r="R87" s="480">
        <f>(IF(Effektmåling!$Q$241="Ja",-0.3*'DB materialer'!D27+G87,G87))-F87</f>
        <v>0.88000000000000012</v>
      </c>
      <c r="S87" s="480">
        <f>(IF(Effektmåling!$Q$241="Ja",1.3*H87,H87))-F87</f>
        <v>0.72100000000000009</v>
      </c>
      <c r="T87" s="480">
        <f>(IF(Effektmåling!$Q$241="Ja",1.3*H87,H87))-(IF(Effektmåling!$Q$241="Ja",-0.3*'DB materialer'!D27+G87,G87))</f>
        <v>-0.15900000000000003</v>
      </c>
      <c r="AE87" s="19">
        <f t="shared" si="76"/>
        <v>21</v>
      </c>
      <c r="AF87" s="29" t="str">
        <f>IF((SUMIFS(Effektmåling!$J$178:$J$182,Effektmåling!$D$178:$D$182,$B87,$AH$120:$AH$124,'DB materialer'!AF$3))&lt;&gt;0,(SUMIFS(Effektmåling!$J$178:$J$182,Effektmåling!$D$178:$D$182,$B87,$AH$120:$AH$124,'DB materialer'!AF$3))*-O87,"")</f>
        <v/>
      </c>
      <c r="AG87" s="29" t="str">
        <f>IF((SUMIFS(Effektmåling!$J$178:$J$182,Effektmåling!$D$178:$D$182,$B87,$AH$120:$AH$124,'DB materialer'!AG$3))&lt;&gt;0,(SUMIFS(Effektmåling!$J$178:$J$182,Effektmåling!$D$178:$D$182,$B87,$AH$120:$AH$124,'DB materialer'!AG$3))*-P87,"")</f>
        <v/>
      </c>
      <c r="AH87" s="29" t="str">
        <f>IF((SUMIFS(Effektmåling!$J$178:$J$182,Effektmåling!$D$178:$D$182,$B87,$AH$120:$AH$124,'DB materialer'!AH$3))&lt;&gt;0,(SUMIFS(Effektmåling!$J$178:$J$182,Effektmåling!$D$178:$D$182,$B87,$AH$120:$AH$124,'DB materialer'!AH$3))*-Q87,"")</f>
        <v/>
      </c>
      <c r="AI87" s="29" t="str">
        <f>IF((SUMIFS(Effektmåling!$J$178:$J$182,Effektmåling!$D$178:$D$182,$B87,$AH$120:$AH$124,'DB materialer'!AI$3))&lt;&gt;0,(SUMIFS(Effektmåling!$J$178:$J$182,Effektmåling!$D$178:$D$182,$B87,$AH$120:$AH$124,'DB materialer'!AI$3))*-R87,"")</f>
        <v/>
      </c>
      <c r="AJ87" s="29" t="str">
        <f>IF((SUMIFS(Effektmåling!$J$178:$J$182,Effektmåling!$D$178:$D$182,$B87,$AH$120:$AH$124,'DB materialer'!AJ$3))&lt;&gt;0,(SUMIFS(Effektmåling!$J$178:$J$182,Effektmåling!$D$178:$D$182,$B87,$AH$120:$AH$124,'DB materialer'!AJ$3))*-S87,"")</f>
        <v/>
      </c>
      <c r="AK87" s="29" t="str">
        <f>IF((SUMIFS(Effektmåling!$J$178:$J$182,Effektmåling!$D$178:$D$182,$B87,$AH$120:$AH$124,'DB materialer'!AK$3))&lt;&gt;0,(SUMIFS(Effektmåling!$J$178:$J$182,Effektmåling!$D$178:$D$182,$B87,$AH$120:$AH$124,'DB materialer'!AK$3))*-T87,"")</f>
        <v/>
      </c>
      <c r="AM87" s="29" t="str">
        <f>IF((SUMIFS(Effektmåling!$J$163:$J$167,Effektmåling!$D$163:$D$167,$B87,$AO$120:$AO$124,'DB materialer'!AM$3))&lt;&gt;0,(SUMIFS(Effektmåling!$J$163:$J$167,Effektmåling!$D$163:$D$167,$B87,$AO$120:$AO$124,'DB materialer'!AM$3))*(-O87)*($C$122),"")</f>
        <v/>
      </c>
      <c r="AN87" s="29" t="str">
        <f>IF((SUMIFS(Effektmåling!$J$163:$J$167,Effektmåling!$D$163:$D$167,$B87,$AO$120:$AO$124,'DB materialer'!AN$3))&lt;&gt;0,(SUMIFS(Effektmåling!$J$163:$J$167,Effektmåling!$D$163:$D$167,$B87,$AO$120:$AO$124,'DB materialer'!AN$3))*(-P87)*($C$122),"")</f>
        <v/>
      </c>
      <c r="AO87" s="29" t="str">
        <f>IF((SUMIFS(Effektmåling!$J$163:$J$167,Effektmåling!$D$163:$D$167,$B87,$AO$120:$AO$124,'DB materialer'!AO$3))&lt;&gt;0,(SUMIFS(Effektmåling!$J$163:$J$167,Effektmåling!$D$163:$D$167,$B87,$AO$120:$AO$124,'DB materialer'!AO$3))*(-Q87)*($C$122),"")</f>
        <v/>
      </c>
      <c r="AP87" s="29" t="str">
        <f>IF((SUMIFS(Effektmåling!$J$163:$J$167,Effektmåling!$D$163:$D$167,$B87,$AO$120:$AO$124,'DB materialer'!AP$3))&lt;&gt;0,(SUMIFS(Effektmåling!$J$163:$J$167,Effektmåling!$D$163:$D$167,$B87,$AO$120:$AO$124,'DB materialer'!AP$3))*(-R87)*($C$122),"")</f>
        <v/>
      </c>
      <c r="AQ87" s="29" t="str">
        <f>IF((SUMIFS(Effektmåling!$J$163:$J$167,Effektmåling!$D$163:$D$167,$B87,$AO$120:$AO$124,'DB materialer'!AQ$3))&lt;&gt;0,(SUMIFS(Effektmåling!$J$163:$J$167,Effektmåling!$D$163:$D$167,$B87,$AO$120:$AO$124,'DB materialer'!AQ$3))*(-S87)*($C$122),"")</f>
        <v/>
      </c>
      <c r="AR87" s="29" t="str">
        <f>IF((SUMIFS(Effektmåling!$J$163:$J$167,Effektmåling!$D$163:$D$167,$B87,$AO$120:$AO$124,'DB materialer'!AR$3))&lt;&gt;0,(SUMIFS(Effektmåling!$J$163:$J$167,Effektmåling!$D$163:$D$167,$B87,$AO$120:$AO$124,'DB materialer'!AR$3))*(-T87)*($C$122),"")</f>
        <v/>
      </c>
      <c r="AT87" s="30">
        <f t="shared" si="79"/>
        <v>-7.61358969769545</v>
      </c>
      <c r="AU87" s="40">
        <f t="shared" si="80"/>
        <v>-0.18290255078643788</v>
      </c>
      <c r="AV87" s="41">
        <f t="shared" si="81"/>
        <v>-0.19850421686746988</v>
      </c>
      <c r="AW87" s="40">
        <f t="shared" si="82"/>
        <v>7.4306871469090119</v>
      </c>
      <c r="AX87" s="41">
        <f t="shared" si="83"/>
        <v>7.4150854808279805</v>
      </c>
      <c r="AY87" s="41">
        <f t="shared" si="84"/>
        <v>-1.5601666081032001E-2</v>
      </c>
      <c r="BA87" s="29" t="str">
        <f>IF((SUMIFS(Effektmåling!$J$178:$J$182,Effektmåling!$D$178:$D$182,$B87,$AH$120:$AH$124,BA$3))&lt;&gt;0,(SUMIFS(Effektmåling!$J$178:$J$182,Effektmåling!$D$178:$D$182,$B87,$AH$120:$AH$124,BA$3))*-AT87,"")</f>
        <v/>
      </c>
      <c r="BB87" s="29" t="str">
        <f>IF((SUMIFS(Effektmåling!$J$178:$J$182,Effektmåling!$D$178:$D$182,$B87,$AH$120:$AH$124,BB$3))&lt;&gt;0,(SUMIFS(Effektmåling!$J$178:$J$182,Effektmåling!$D$178:$D$182,$B87,$AH$120:$AH$124,BB$3))*-AU87,"")</f>
        <v/>
      </c>
      <c r="BC87" s="29" t="str">
        <f>IF((SUMIFS(Effektmåling!$J$178:$J$182,Effektmåling!$D$178:$D$182,$B87,$AH$120:$AH$124,BC$3))&lt;&gt;0,(SUMIFS(Effektmåling!$J$178:$J$182,Effektmåling!$D$178:$D$182,$B87,$AH$120:$AH$124,BC$3))*-AV87,"")</f>
        <v/>
      </c>
      <c r="BD87" s="29" t="str">
        <f>IF((SUMIFS(Effektmåling!$J$178:$J$182,Effektmåling!$D$178:$D$182,$B87,$AH$120:$AH$124,BD$3))&lt;&gt;0,(SUMIFS(Effektmåling!$J$178:$J$182,Effektmåling!$D$178:$D$182,$B87,$AH$120:$AH$124,BD$3))*-AW87,"")</f>
        <v/>
      </c>
      <c r="BE87" s="29" t="str">
        <f>IF((SUMIFS(Effektmåling!$J$178:$J$182,Effektmåling!$D$178:$D$182,$B87,$AH$120:$AH$124,BE$3))&lt;&gt;0,(SUMIFS(Effektmåling!$J$178:$J$182,Effektmåling!$D$178:$D$182,$B87,$AH$120:$AH$124,BE$3))*-AX87,"")</f>
        <v/>
      </c>
      <c r="BF87" s="29" t="str">
        <f>IF((SUMIFS(Effektmåling!$J$178:$J$182,Effektmåling!$D$178:$D$182,$B87,$AH$120:$AH$124,BF$3))&lt;&gt;0,(SUMIFS(Effektmåling!$J$178:$J$182,Effektmåling!$D$178:$D$182,$B87,$AH$120:$AH$124,BF$3))*-AY87,"")</f>
        <v/>
      </c>
      <c r="BH87" s="29" t="str">
        <f>IF((SUMIFS(Effektmåling!$J$163:$J$167,Effektmåling!$D$163:$D$167,$B87,$AO$120:$AO$124,BH$3))&lt;&gt;0,(SUMIFS(Effektmåling!$J$163:$J$167,Effektmåling!$D$163:$D$167,$B87,$AO$120:$AO$124,BH$3))*-AT87,"")</f>
        <v/>
      </c>
      <c r="BI87" s="29" t="str">
        <f>IF((SUMIFS(Effektmåling!$J$163:$J$167,Effektmåling!$D$163:$D$167,$B87,$AO$120:$AO$124,BI$3))&lt;&gt;0,(SUMIFS(Effektmåling!$J$163:$J$167,Effektmåling!$D$163:$D$167,$B87,$AO$120:$AO$124,BI$3))*-AU87,"")</f>
        <v/>
      </c>
      <c r="BJ87" s="29" t="str">
        <f>IF((SUMIFS(Effektmåling!$J$163:$J$167,Effektmåling!$D$163:$D$167,$B87,$AO$120:$AO$124,BJ$3))&lt;&gt;0,(SUMIFS(Effektmåling!$J$163:$J$167,Effektmåling!$D$163:$D$167,$B87,$AO$120:$AO$124,BJ$3))*-AV87,"")</f>
        <v/>
      </c>
      <c r="BK87" s="29" t="str">
        <f>IF((SUMIFS(Effektmåling!$J$163:$J$167,Effektmåling!$D$163:$D$167,$B87,$AO$120:$AO$124,BK$3))&lt;&gt;0,(SUMIFS(Effektmåling!$J$163:$J$167,Effektmåling!$D$163:$D$167,$B87,$AO$120:$AO$124,BK$3))*-AW87,"")</f>
        <v/>
      </c>
      <c r="BL87" s="29" t="str">
        <f>IF((SUMIFS(Effektmåling!$J$163:$J$167,Effektmåling!$D$163:$D$167,$B87,$AO$120:$AO$124,BL$3))&lt;&gt;0,(SUMIFS(Effektmåling!$J$163:$J$167,Effektmåling!$D$163:$D$167,$B87,$AO$120:$AO$124,BL$3))*-AX87,"")</f>
        <v/>
      </c>
      <c r="BM87" s="29" t="str">
        <f>IF((SUMIFS(Effektmåling!$J$163:$J$167,Effektmåling!$D$163:$D$167,$B87,$AO$120:$AO$124,BM$3))&lt;&gt;0,(SUMIFS(Effektmåling!$J$163:$J$167,Effektmåling!$D$163:$D$167,$B87,$AO$120:$AO$124,BM$3))*-AY87,"")</f>
        <v/>
      </c>
    </row>
    <row r="88" spans="1:65" x14ac:dyDescent="0.15">
      <c r="A88" s="19">
        <f t="shared" si="75"/>
        <v>24</v>
      </c>
      <c r="B88" s="19" t="s">
        <v>270</v>
      </c>
      <c r="C88" s="19">
        <v>1</v>
      </c>
      <c r="D88" s="57">
        <v>0</v>
      </c>
      <c r="E88" s="57">
        <v>0</v>
      </c>
      <c r="F88" s="105">
        <v>-2.2810000000000001</v>
      </c>
      <c r="G88" s="22">
        <v>-1.417</v>
      </c>
      <c r="H88" s="22">
        <f t="shared" si="77"/>
        <v>-3.5205000000000002</v>
      </c>
      <c r="I88" s="57">
        <v>0</v>
      </c>
      <c r="J88" s="57">
        <v>0</v>
      </c>
      <c r="K88" s="114">
        <v>-7.1327314009988951</v>
      </c>
      <c r="L88" s="88">
        <v>-7.9897876807613927E-2</v>
      </c>
      <c r="M88" s="88">
        <v>-0.19850421686746988</v>
      </c>
      <c r="O88" s="40">
        <f t="shared" si="78"/>
        <v>-2.2810000000000001</v>
      </c>
      <c r="P88" s="480">
        <f>(IF(Effektmåling!$Q$241="Ja",-0.3*'DB materialer'!D28+G88,G88))-E88</f>
        <v>-1.417</v>
      </c>
      <c r="Q88" s="480">
        <f>(IF(Effektmåling!$Q$241="Ja",1.3*H88,H88))-E88</f>
        <v>-3.5205000000000002</v>
      </c>
      <c r="R88" s="480">
        <f>(IF(Effektmåling!$Q$241="Ja",-0.3*'DB materialer'!D28+G88,G88))-F88</f>
        <v>0.8640000000000001</v>
      </c>
      <c r="S88" s="480">
        <f>(IF(Effektmåling!$Q$241="Ja",1.3*H88,H88))-F88</f>
        <v>-1.2395</v>
      </c>
      <c r="T88" s="480">
        <f>(IF(Effektmåling!$Q$241="Ja",1.3*H88,H88))-(IF(Effektmåling!$Q$241="Ja",-0.3*'DB materialer'!D28+G88,G88))</f>
        <v>-2.1035000000000004</v>
      </c>
      <c r="AE88" s="19">
        <f t="shared" si="76"/>
        <v>22</v>
      </c>
      <c r="AF88" s="29" t="str">
        <f>IF((SUMIFS(Effektmåling!$J$178:$J$182,Effektmåling!$D$178:$D$182,$B88,$AH$120:$AH$124,'DB materialer'!AF$3))&lt;&gt;0,(SUMIFS(Effektmåling!$J$178:$J$182,Effektmåling!$D$178:$D$182,$B88,$AH$120:$AH$124,'DB materialer'!AF$3))*-O88,"")</f>
        <v/>
      </c>
      <c r="AG88" s="29" t="str">
        <f>IF((SUMIFS(Effektmåling!$J$178:$J$182,Effektmåling!$D$178:$D$182,$B88,$AH$120:$AH$124,'DB materialer'!AG$3))&lt;&gt;0,(SUMIFS(Effektmåling!$J$178:$J$182,Effektmåling!$D$178:$D$182,$B88,$AH$120:$AH$124,'DB materialer'!AG$3))*-P88,"")</f>
        <v/>
      </c>
      <c r="AH88" s="29" t="str">
        <f>IF((SUMIFS(Effektmåling!$J$178:$J$182,Effektmåling!$D$178:$D$182,$B88,$AH$120:$AH$124,'DB materialer'!AH$3))&lt;&gt;0,(SUMIFS(Effektmåling!$J$178:$J$182,Effektmåling!$D$178:$D$182,$B88,$AH$120:$AH$124,'DB materialer'!AH$3))*-Q88,"")</f>
        <v/>
      </c>
      <c r="AI88" s="29" t="str">
        <f>IF((SUMIFS(Effektmåling!$J$178:$J$182,Effektmåling!$D$178:$D$182,$B88,$AH$120:$AH$124,'DB materialer'!AI$3))&lt;&gt;0,(SUMIFS(Effektmåling!$J$178:$J$182,Effektmåling!$D$178:$D$182,$B88,$AH$120:$AH$124,'DB materialer'!AI$3))*-R88,"")</f>
        <v/>
      </c>
      <c r="AJ88" s="29" t="str">
        <f>IF((SUMIFS(Effektmåling!$J$178:$J$182,Effektmåling!$D$178:$D$182,$B88,$AH$120:$AH$124,'DB materialer'!AJ$3))&lt;&gt;0,(SUMIFS(Effektmåling!$J$178:$J$182,Effektmåling!$D$178:$D$182,$B88,$AH$120:$AH$124,'DB materialer'!AJ$3))*-S88,"")</f>
        <v/>
      </c>
      <c r="AK88" s="29" t="str">
        <f>IF((SUMIFS(Effektmåling!$J$178:$J$182,Effektmåling!$D$178:$D$182,$B88,$AH$120:$AH$124,'DB materialer'!AK$3))&lt;&gt;0,(SUMIFS(Effektmåling!$J$178:$J$182,Effektmåling!$D$178:$D$182,$B88,$AH$120:$AH$124,'DB materialer'!AK$3))*-T88,"")</f>
        <v/>
      </c>
      <c r="AM88" s="29" t="str">
        <f>IF((SUMIFS(Effektmåling!$J$163:$J$167,Effektmåling!$D$163:$D$167,$B88,$AO$120:$AO$124,'DB materialer'!AM$3))&lt;&gt;0,(SUMIFS(Effektmåling!$J$163:$J$167,Effektmåling!$D$163:$D$167,$B88,$AO$120:$AO$124,'DB materialer'!AM$3))*(-O88)*($C$122),"")</f>
        <v/>
      </c>
      <c r="AN88" s="29" t="str">
        <f>IF((SUMIFS(Effektmåling!$J$163:$J$167,Effektmåling!$D$163:$D$167,$B88,$AO$120:$AO$124,'DB materialer'!AN$3))&lt;&gt;0,(SUMIFS(Effektmåling!$J$163:$J$167,Effektmåling!$D$163:$D$167,$B88,$AO$120:$AO$124,'DB materialer'!AN$3))*(-P88)*($C$122),"")</f>
        <v/>
      </c>
      <c r="AO88" s="29" t="str">
        <f>IF((SUMIFS(Effektmåling!$J$163:$J$167,Effektmåling!$D$163:$D$167,$B88,$AO$120:$AO$124,'DB materialer'!AO$3))&lt;&gt;0,(SUMIFS(Effektmåling!$J$163:$J$167,Effektmåling!$D$163:$D$167,$B88,$AO$120:$AO$124,'DB materialer'!AO$3))*(-Q88)*($C$122),"")</f>
        <v/>
      </c>
      <c r="AP88" s="29" t="str">
        <f>IF((SUMIFS(Effektmåling!$J$163:$J$167,Effektmåling!$D$163:$D$167,$B88,$AO$120:$AO$124,'DB materialer'!AP$3))&lt;&gt;0,(SUMIFS(Effektmåling!$J$163:$J$167,Effektmåling!$D$163:$D$167,$B88,$AO$120:$AO$124,'DB materialer'!AP$3))*(-R88)*($C$122),"")</f>
        <v/>
      </c>
      <c r="AQ88" s="29" t="str">
        <f>IF((SUMIFS(Effektmåling!$J$163:$J$167,Effektmåling!$D$163:$D$167,$B88,$AO$120:$AO$124,'DB materialer'!AQ$3))&lt;&gt;0,(SUMIFS(Effektmåling!$J$163:$J$167,Effektmåling!$D$163:$D$167,$B88,$AO$120:$AO$124,'DB materialer'!AQ$3))*(-S88)*($C$122),"")</f>
        <v/>
      </c>
      <c r="AR88" s="29" t="str">
        <f>IF((SUMIFS(Effektmåling!$J$163:$J$167,Effektmåling!$D$163:$D$167,$B88,$AO$120:$AO$124,'DB materialer'!AR$3))&lt;&gt;0,(SUMIFS(Effektmåling!$J$163:$J$167,Effektmåling!$D$163:$D$167,$B88,$AO$120:$AO$124,'DB materialer'!AR$3))*(-T88)*($C$122),"")</f>
        <v/>
      </c>
      <c r="AT88" s="30">
        <f t="shared" si="79"/>
        <v>-7.1327314009988951</v>
      </c>
      <c r="AU88" s="40">
        <f t="shared" si="80"/>
        <v>-7.9897876807613927E-2</v>
      </c>
      <c r="AV88" s="41">
        <f t="shared" si="81"/>
        <v>-0.19850421686746988</v>
      </c>
      <c r="AW88" s="40">
        <f t="shared" si="82"/>
        <v>7.0528335241912812</v>
      </c>
      <c r="AX88" s="41">
        <f t="shared" si="83"/>
        <v>6.9342271841314256</v>
      </c>
      <c r="AY88" s="41">
        <f t="shared" si="84"/>
        <v>-0.11860634005985596</v>
      </c>
      <c r="BA88" s="29" t="str">
        <f>IF((SUMIFS(Effektmåling!$J$178:$J$182,Effektmåling!$D$178:$D$182,$B88,$AH$120:$AH$124,BA$3))&lt;&gt;0,(SUMIFS(Effektmåling!$J$178:$J$182,Effektmåling!$D$178:$D$182,$B88,$AH$120:$AH$124,BA$3))*-AT88,"")</f>
        <v/>
      </c>
      <c r="BB88" s="29" t="str">
        <f>IF((SUMIFS(Effektmåling!$J$178:$J$182,Effektmåling!$D$178:$D$182,$B88,$AH$120:$AH$124,BB$3))&lt;&gt;0,(SUMIFS(Effektmåling!$J$178:$J$182,Effektmåling!$D$178:$D$182,$B88,$AH$120:$AH$124,BB$3))*-AU88,"")</f>
        <v/>
      </c>
      <c r="BC88" s="29" t="str">
        <f>IF((SUMIFS(Effektmåling!$J$178:$J$182,Effektmåling!$D$178:$D$182,$B88,$AH$120:$AH$124,BC$3))&lt;&gt;0,(SUMIFS(Effektmåling!$J$178:$J$182,Effektmåling!$D$178:$D$182,$B88,$AH$120:$AH$124,BC$3))*-AV88,"")</f>
        <v/>
      </c>
      <c r="BD88" s="29" t="str">
        <f>IF((SUMIFS(Effektmåling!$J$178:$J$182,Effektmåling!$D$178:$D$182,$B88,$AH$120:$AH$124,BD$3))&lt;&gt;0,(SUMIFS(Effektmåling!$J$178:$J$182,Effektmåling!$D$178:$D$182,$B88,$AH$120:$AH$124,BD$3))*-AW88,"")</f>
        <v/>
      </c>
      <c r="BE88" s="29" t="str">
        <f>IF((SUMIFS(Effektmåling!$J$178:$J$182,Effektmåling!$D$178:$D$182,$B88,$AH$120:$AH$124,BE$3))&lt;&gt;0,(SUMIFS(Effektmåling!$J$178:$J$182,Effektmåling!$D$178:$D$182,$B88,$AH$120:$AH$124,BE$3))*-AX88,"")</f>
        <v/>
      </c>
      <c r="BF88" s="29" t="str">
        <f>IF((SUMIFS(Effektmåling!$J$178:$J$182,Effektmåling!$D$178:$D$182,$B88,$AH$120:$AH$124,BF$3))&lt;&gt;0,(SUMIFS(Effektmåling!$J$178:$J$182,Effektmåling!$D$178:$D$182,$B88,$AH$120:$AH$124,BF$3))*-AY88,"")</f>
        <v/>
      </c>
      <c r="BH88" s="29" t="str">
        <f>IF((SUMIFS(Effektmåling!$J$163:$J$167,Effektmåling!$D$163:$D$167,$B88,$AO$120:$AO$124,BH$3))&lt;&gt;0,(SUMIFS(Effektmåling!$J$163:$J$167,Effektmåling!$D$163:$D$167,$B88,$AO$120:$AO$124,BH$3))*-AT88,"")</f>
        <v/>
      </c>
      <c r="BI88" s="29" t="str">
        <f>IF((SUMIFS(Effektmåling!$J$163:$J$167,Effektmåling!$D$163:$D$167,$B88,$AO$120:$AO$124,BI$3))&lt;&gt;0,(SUMIFS(Effektmåling!$J$163:$J$167,Effektmåling!$D$163:$D$167,$B88,$AO$120:$AO$124,BI$3))*-AU88,"")</f>
        <v/>
      </c>
      <c r="BJ88" s="29" t="str">
        <f>IF((SUMIFS(Effektmåling!$J$163:$J$167,Effektmåling!$D$163:$D$167,$B88,$AO$120:$AO$124,BJ$3))&lt;&gt;0,(SUMIFS(Effektmåling!$J$163:$J$167,Effektmåling!$D$163:$D$167,$B88,$AO$120:$AO$124,BJ$3))*-AV88,"")</f>
        <v/>
      </c>
      <c r="BK88" s="29" t="str">
        <f>IF((SUMIFS(Effektmåling!$J$163:$J$167,Effektmåling!$D$163:$D$167,$B88,$AO$120:$AO$124,BK$3))&lt;&gt;0,(SUMIFS(Effektmåling!$J$163:$J$167,Effektmåling!$D$163:$D$167,$B88,$AO$120:$AO$124,BK$3))*-AW88,"")</f>
        <v/>
      </c>
      <c r="BL88" s="29" t="str">
        <f>IF((SUMIFS(Effektmåling!$J$163:$J$167,Effektmåling!$D$163:$D$167,$B88,$AO$120:$AO$124,BL$3))&lt;&gt;0,(SUMIFS(Effektmåling!$J$163:$J$167,Effektmåling!$D$163:$D$167,$B88,$AO$120:$AO$124,BL$3))*-AX88,"")</f>
        <v/>
      </c>
      <c r="BM88" s="29" t="str">
        <f>IF((SUMIFS(Effektmåling!$J$163:$J$167,Effektmåling!$D$163:$D$167,$B88,$AO$120:$AO$124,BM$3))&lt;&gt;0,(SUMIFS(Effektmåling!$J$163:$J$167,Effektmåling!$D$163:$D$167,$B88,$AO$120:$AO$124,BM$3))*-AY88,"")</f>
        <v/>
      </c>
    </row>
    <row r="89" spans="1:65" x14ac:dyDescent="0.15">
      <c r="A89" s="19">
        <f t="shared" si="75"/>
        <v>25</v>
      </c>
      <c r="B89" s="19" t="s">
        <v>271</v>
      </c>
      <c r="C89" s="19">
        <v>1</v>
      </c>
      <c r="D89" s="57">
        <v>0</v>
      </c>
      <c r="E89" s="57">
        <v>0</v>
      </c>
      <c r="F89" s="105">
        <v>-0.33800000000000002</v>
      </c>
      <c r="G89" s="22">
        <v>0</v>
      </c>
      <c r="H89" s="22">
        <f t="shared" si="77"/>
        <v>-2.7381000000000002</v>
      </c>
      <c r="I89" s="57">
        <v>0</v>
      </c>
      <c r="J89" s="57">
        <v>0</v>
      </c>
      <c r="K89" s="114">
        <v>0</v>
      </c>
      <c r="L89" s="90">
        <v>0</v>
      </c>
      <c r="M89" s="88">
        <v>-0.19850421686746988</v>
      </c>
      <c r="O89" s="40">
        <f t="shared" si="78"/>
        <v>-0.33800000000000002</v>
      </c>
      <c r="P89" s="480">
        <f>(IF(Effektmåling!$Q$241="Ja",-0.3*'DB materialer'!D29+G89,G89))-E89</f>
        <v>0</v>
      </c>
      <c r="Q89" s="480">
        <f>(IF(Effektmåling!$Q$241="Ja",1.3*H89,H89))-E89</f>
        <v>-2.7381000000000002</v>
      </c>
      <c r="R89" s="480">
        <f>(IF(Effektmåling!$Q$241="Ja",-0.3*'DB materialer'!D29+G89,G89))-F89</f>
        <v>0.33800000000000002</v>
      </c>
      <c r="S89" s="480">
        <f>(IF(Effektmåling!$Q$241="Ja",1.3*H89,H89))-F89</f>
        <v>-2.4001000000000001</v>
      </c>
      <c r="T89" s="480">
        <f>(IF(Effektmåling!$Q$241="Ja",1.3*H89,H89))-(IF(Effektmåling!$Q$241="Ja",-0.3*'DB materialer'!D29+G89,G89))</f>
        <v>-2.7381000000000002</v>
      </c>
      <c r="AE89" s="19">
        <f t="shared" si="76"/>
        <v>23</v>
      </c>
      <c r="AF89" s="29" t="str">
        <f>IF((SUMIFS(Effektmåling!$J$178:$J$182,Effektmåling!$D$178:$D$182,$B89,$AH$120:$AH$124,'DB materialer'!AF$3))&lt;&gt;0,(SUMIFS(Effektmåling!$J$178:$J$182,Effektmåling!$D$178:$D$182,$B89,$AH$120:$AH$124,'DB materialer'!AF$3))*-O89,"")</f>
        <v/>
      </c>
      <c r="AG89" s="29" t="str">
        <f>IF((SUMIFS(Effektmåling!$J$178:$J$182,Effektmåling!$D$178:$D$182,$B89,$AH$120:$AH$124,'DB materialer'!AG$3))&lt;&gt;0,(SUMIFS(Effektmåling!$J$178:$J$182,Effektmåling!$D$178:$D$182,$B89,$AH$120:$AH$124,'DB materialer'!AG$3))*-P89,"")</f>
        <v/>
      </c>
      <c r="AH89" s="29" t="str">
        <f>IF((SUMIFS(Effektmåling!$J$178:$J$182,Effektmåling!$D$178:$D$182,$B89,$AH$120:$AH$124,'DB materialer'!AH$3))&lt;&gt;0,(SUMIFS(Effektmåling!$J$178:$J$182,Effektmåling!$D$178:$D$182,$B89,$AH$120:$AH$124,'DB materialer'!AH$3))*-Q89,"")</f>
        <v/>
      </c>
      <c r="AI89" s="29" t="str">
        <f>IF((SUMIFS(Effektmåling!$J$178:$J$182,Effektmåling!$D$178:$D$182,$B89,$AH$120:$AH$124,'DB materialer'!AI$3))&lt;&gt;0,(SUMIFS(Effektmåling!$J$178:$J$182,Effektmåling!$D$178:$D$182,$B89,$AH$120:$AH$124,'DB materialer'!AI$3))*-R89,"")</f>
        <v/>
      </c>
      <c r="AJ89" s="29" t="str">
        <f>IF((SUMIFS(Effektmåling!$J$178:$J$182,Effektmåling!$D$178:$D$182,$B89,$AH$120:$AH$124,'DB materialer'!AJ$3))&lt;&gt;0,(SUMIFS(Effektmåling!$J$178:$J$182,Effektmåling!$D$178:$D$182,$B89,$AH$120:$AH$124,'DB materialer'!AJ$3))*-S89,"")</f>
        <v/>
      </c>
      <c r="AK89" s="29" t="str">
        <f>IF((SUMIFS(Effektmåling!$J$178:$J$182,Effektmåling!$D$178:$D$182,$B89,$AH$120:$AH$124,'DB materialer'!AK$3))&lt;&gt;0,(SUMIFS(Effektmåling!$J$178:$J$182,Effektmåling!$D$178:$D$182,$B89,$AH$120:$AH$124,'DB materialer'!AK$3))*-T89,"")</f>
        <v/>
      </c>
      <c r="AM89" s="29" t="str">
        <f>IF((SUMIFS(Effektmåling!$J$163:$J$167,Effektmåling!$D$163:$D$167,$B89,$AO$120:$AO$124,'DB materialer'!AM$3))&lt;&gt;0,(SUMIFS(Effektmåling!$J$163:$J$167,Effektmåling!$D$163:$D$167,$B89,$AO$120:$AO$124,'DB materialer'!AM$3))*(-O89)*($C$122),"")</f>
        <v/>
      </c>
      <c r="AN89" s="29" t="str">
        <f>IF((SUMIFS(Effektmåling!$J$163:$J$167,Effektmåling!$D$163:$D$167,$B89,$AO$120:$AO$124,'DB materialer'!AN$3))&lt;&gt;0,(SUMIFS(Effektmåling!$J$163:$J$167,Effektmåling!$D$163:$D$167,$B89,$AO$120:$AO$124,'DB materialer'!AN$3))*(-P89)*($C$122),"")</f>
        <v/>
      </c>
      <c r="AO89" s="29" t="str">
        <f>IF((SUMIFS(Effektmåling!$J$163:$J$167,Effektmåling!$D$163:$D$167,$B89,$AO$120:$AO$124,'DB materialer'!AO$3))&lt;&gt;0,(SUMIFS(Effektmåling!$J$163:$J$167,Effektmåling!$D$163:$D$167,$B89,$AO$120:$AO$124,'DB materialer'!AO$3))*(-Q89)*($C$122),"")</f>
        <v/>
      </c>
      <c r="AP89" s="29" t="str">
        <f>IF((SUMIFS(Effektmåling!$J$163:$J$167,Effektmåling!$D$163:$D$167,$B89,$AO$120:$AO$124,'DB materialer'!AP$3))&lt;&gt;0,(SUMIFS(Effektmåling!$J$163:$J$167,Effektmåling!$D$163:$D$167,$B89,$AO$120:$AO$124,'DB materialer'!AP$3))*(-R89)*($C$122),"")</f>
        <v/>
      </c>
      <c r="AQ89" s="29" t="str">
        <f>IF((SUMIFS(Effektmåling!$J$163:$J$167,Effektmåling!$D$163:$D$167,$B89,$AO$120:$AO$124,'DB materialer'!AQ$3))&lt;&gt;0,(SUMIFS(Effektmåling!$J$163:$J$167,Effektmåling!$D$163:$D$167,$B89,$AO$120:$AO$124,'DB materialer'!AQ$3))*(-S89)*($C$122),"")</f>
        <v/>
      </c>
      <c r="AR89" s="29" t="str">
        <f>IF((SUMIFS(Effektmåling!$J$163:$J$167,Effektmåling!$D$163:$D$167,$B89,$AO$120:$AO$124,'DB materialer'!AR$3))&lt;&gt;0,(SUMIFS(Effektmåling!$J$163:$J$167,Effektmåling!$D$163:$D$167,$B89,$AO$120:$AO$124,'DB materialer'!AR$3))*(-T89)*($C$122),"")</f>
        <v/>
      </c>
      <c r="AT89" s="30">
        <f t="shared" si="79"/>
        <v>1.0000000000000001E-30</v>
      </c>
      <c r="AU89" s="40">
        <f t="shared" si="80"/>
        <v>1.0000000000000001E-30</v>
      </c>
      <c r="AV89" s="41">
        <f t="shared" si="81"/>
        <v>-0.19850421686746988</v>
      </c>
      <c r="AW89" s="40">
        <f t="shared" si="82"/>
        <v>1.0000000000000001E-30</v>
      </c>
      <c r="AX89" s="41">
        <f t="shared" si="83"/>
        <v>-0.19850421686746988</v>
      </c>
      <c r="AY89" s="41">
        <f t="shared" si="84"/>
        <v>-0.19850421686746988</v>
      </c>
      <c r="BA89" s="29" t="str">
        <f>IF((SUMIFS(Effektmåling!$J$178:$J$182,Effektmåling!$D$178:$D$182,$B89,$AH$120:$AH$124,BA$3))&lt;&gt;0,(SUMIFS(Effektmåling!$J$178:$J$182,Effektmåling!$D$178:$D$182,$B89,$AH$120:$AH$124,BA$3))*-AT89,"")</f>
        <v/>
      </c>
      <c r="BB89" s="29" t="str">
        <f>IF((SUMIFS(Effektmåling!$J$178:$J$182,Effektmåling!$D$178:$D$182,$B89,$AH$120:$AH$124,BB$3))&lt;&gt;0,(SUMIFS(Effektmåling!$J$178:$J$182,Effektmåling!$D$178:$D$182,$B89,$AH$120:$AH$124,BB$3))*-AU89,"")</f>
        <v/>
      </c>
      <c r="BC89" s="29" t="str">
        <f>IF((SUMIFS(Effektmåling!$J$178:$J$182,Effektmåling!$D$178:$D$182,$B89,$AH$120:$AH$124,BC$3))&lt;&gt;0,(SUMIFS(Effektmåling!$J$178:$J$182,Effektmåling!$D$178:$D$182,$B89,$AH$120:$AH$124,BC$3))*-AV89,"")</f>
        <v/>
      </c>
      <c r="BD89" s="29" t="str">
        <f>IF((SUMIFS(Effektmåling!$J$178:$J$182,Effektmåling!$D$178:$D$182,$B89,$AH$120:$AH$124,BD$3))&lt;&gt;0,(SUMIFS(Effektmåling!$J$178:$J$182,Effektmåling!$D$178:$D$182,$B89,$AH$120:$AH$124,BD$3))*-AW89,"")</f>
        <v/>
      </c>
      <c r="BE89" s="29" t="str">
        <f>IF((SUMIFS(Effektmåling!$J$178:$J$182,Effektmåling!$D$178:$D$182,$B89,$AH$120:$AH$124,BE$3))&lt;&gt;0,(SUMIFS(Effektmåling!$J$178:$J$182,Effektmåling!$D$178:$D$182,$B89,$AH$120:$AH$124,BE$3))*-AX89,"")</f>
        <v/>
      </c>
      <c r="BF89" s="29" t="str">
        <f>IF((SUMIFS(Effektmåling!$J$178:$J$182,Effektmåling!$D$178:$D$182,$B89,$AH$120:$AH$124,BF$3))&lt;&gt;0,(SUMIFS(Effektmåling!$J$178:$J$182,Effektmåling!$D$178:$D$182,$B89,$AH$120:$AH$124,BF$3))*-AY89,"")</f>
        <v/>
      </c>
      <c r="BH89" s="29" t="str">
        <f>IF((SUMIFS(Effektmåling!$J$163:$J$167,Effektmåling!$D$163:$D$167,$B89,$AO$120:$AO$124,BH$3))&lt;&gt;0,(SUMIFS(Effektmåling!$J$163:$J$167,Effektmåling!$D$163:$D$167,$B89,$AO$120:$AO$124,BH$3))*-AT89,"")</f>
        <v/>
      </c>
      <c r="BI89" s="29" t="str">
        <f>IF((SUMIFS(Effektmåling!$J$163:$J$167,Effektmåling!$D$163:$D$167,$B89,$AO$120:$AO$124,BI$3))&lt;&gt;0,(SUMIFS(Effektmåling!$J$163:$J$167,Effektmåling!$D$163:$D$167,$B89,$AO$120:$AO$124,BI$3))*-AU89,"")</f>
        <v/>
      </c>
      <c r="BJ89" s="29" t="str">
        <f>IF((SUMIFS(Effektmåling!$J$163:$J$167,Effektmåling!$D$163:$D$167,$B89,$AO$120:$AO$124,BJ$3))&lt;&gt;0,(SUMIFS(Effektmåling!$J$163:$J$167,Effektmåling!$D$163:$D$167,$B89,$AO$120:$AO$124,BJ$3))*-AV89,"")</f>
        <v/>
      </c>
      <c r="BK89" s="29" t="str">
        <f>IF((SUMIFS(Effektmåling!$J$163:$J$167,Effektmåling!$D$163:$D$167,$B89,$AO$120:$AO$124,BK$3))&lt;&gt;0,(SUMIFS(Effektmåling!$J$163:$J$167,Effektmåling!$D$163:$D$167,$B89,$AO$120:$AO$124,BK$3))*-AW89,"")</f>
        <v/>
      </c>
      <c r="BL89" s="29" t="str">
        <f>IF((SUMIFS(Effektmåling!$J$163:$J$167,Effektmåling!$D$163:$D$167,$B89,$AO$120:$AO$124,BL$3))&lt;&gt;0,(SUMIFS(Effektmåling!$J$163:$J$167,Effektmåling!$D$163:$D$167,$B89,$AO$120:$AO$124,BL$3))*-AX89,"")</f>
        <v/>
      </c>
      <c r="BM89" s="29" t="str">
        <f>IF((SUMIFS(Effektmåling!$J$163:$J$167,Effektmåling!$D$163:$D$167,$B89,$AO$120:$AO$124,BM$3))&lt;&gt;0,(SUMIFS(Effektmåling!$J$163:$J$167,Effektmåling!$D$163:$D$167,$B89,$AO$120:$AO$124,BM$3))*-AY89,"")</f>
        <v/>
      </c>
    </row>
    <row r="90" spans="1:65" x14ac:dyDescent="0.15">
      <c r="A90" s="19">
        <f t="shared" si="75"/>
        <v>26</v>
      </c>
      <c r="B90" s="19" t="s">
        <v>272</v>
      </c>
      <c r="C90" s="19">
        <v>1</v>
      </c>
      <c r="D90" s="57">
        <v>0</v>
      </c>
      <c r="E90" s="57">
        <v>0</v>
      </c>
      <c r="F90" s="105">
        <v>-0.33800000000000002</v>
      </c>
      <c r="G90" s="22">
        <v>-2.5230000000000001</v>
      </c>
      <c r="H90" s="22">
        <f t="shared" si="77"/>
        <v>-2.7381000000000002</v>
      </c>
      <c r="I90" s="57">
        <v>0</v>
      </c>
      <c r="J90" s="57">
        <v>0</v>
      </c>
      <c r="K90" s="114">
        <v>-3.806794848847725</v>
      </c>
      <c r="L90" s="88">
        <v>-0.18291009793529328</v>
      </c>
      <c r="M90" s="88">
        <v>-0.19850421686746988</v>
      </c>
      <c r="O90" s="40">
        <f t="shared" si="78"/>
        <v>-0.33800000000000002</v>
      </c>
      <c r="P90" s="480">
        <f>(IF(Effektmåling!$Q$241="Ja",-0.3*'DB materialer'!D30+G90,G90))-E90</f>
        <v>-2.5230000000000001</v>
      </c>
      <c r="Q90" s="480">
        <f>(IF(Effektmåling!$Q$241="Ja",1.3*H90,H90))-E90</f>
        <v>-2.7381000000000002</v>
      </c>
      <c r="R90" s="480">
        <f>(IF(Effektmåling!$Q$241="Ja",-0.3*'DB materialer'!D30+G90,G90))-F90</f>
        <v>-2.1850000000000001</v>
      </c>
      <c r="S90" s="480">
        <f>(IF(Effektmåling!$Q$241="Ja",1.3*H90,H90))-F90</f>
        <v>-2.4001000000000001</v>
      </c>
      <c r="T90" s="480">
        <f>(IF(Effektmåling!$Q$241="Ja",1.3*H90,H90))-(IF(Effektmåling!$Q$241="Ja",-0.3*'DB materialer'!D30+G90,G90))</f>
        <v>-0.21510000000000007</v>
      </c>
      <c r="AE90" s="19">
        <f t="shared" si="76"/>
        <v>24</v>
      </c>
      <c r="AF90" s="29" t="str">
        <f>IF((SUMIFS(Effektmåling!$J$178:$J$182,Effektmåling!$D$178:$D$182,$B90,$AH$120:$AH$124,'DB materialer'!AF$3))&lt;&gt;0,(SUMIFS(Effektmåling!$J$178:$J$182,Effektmåling!$D$178:$D$182,$B90,$AH$120:$AH$124,'DB materialer'!AF$3))*-O90,"")</f>
        <v/>
      </c>
      <c r="AG90" s="29" t="str">
        <f>IF((SUMIFS(Effektmåling!$J$178:$J$182,Effektmåling!$D$178:$D$182,$B90,$AH$120:$AH$124,'DB materialer'!AG$3))&lt;&gt;0,(SUMIFS(Effektmåling!$J$178:$J$182,Effektmåling!$D$178:$D$182,$B90,$AH$120:$AH$124,'DB materialer'!AG$3))*-P90,"")</f>
        <v/>
      </c>
      <c r="AH90" s="29" t="str">
        <f>IF((SUMIFS(Effektmåling!$J$178:$J$182,Effektmåling!$D$178:$D$182,$B90,$AH$120:$AH$124,'DB materialer'!AH$3))&lt;&gt;0,(SUMIFS(Effektmåling!$J$178:$J$182,Effektmåling!$D$178:$D$182,$B90,$AH$120:$AH$124,'DB materialer'!AH$3))*-Q90,"")</f>
        <v/>
      </c>
      <c r="AI90" s="29" t="str">
        <f>IF((SUMIFS(Effektmåling!$J$178:$J$182,Effektmåling!$D$178:$D$182,$B90,$AH$120:$AH$124,'DB materialer'!AI$3))&lt;&gt;0,(SUMIFS(Effektmåling!$J$178:$J$182,Effektmåling!$D$178:$D$182,$B90,$AH$120:$AH$124,'DB materialer'!AI$3))*-R90,"")</f>
        <v/>
      </c>
      <c r="AJ90" s="29" t="str">
        <f>IF((SUMIFS(Effektmåling!$J$178:$J$182,Effektmåling!$D$178:$D$182,$B90,$AH$120:$AH$124,'DB materialer'!AJ$3))&lt;&gt;0,(SUMIFS(Effektmåling!$J$178:$J$182,Effektmåling!$D$178:$D$182,$B90,$AH$120:$AH$124,'DB materialer'!AJ$3))*-S90,"")</f>
        <v/>
      </c>
      <c r="AK90" s="29" t="str">
        <f>IF((SUMIFS(Effektmåling!$J$178:$J$182,Effektmåling!$D$178:$D$182,$B90,$AH$120:$AH$124,'DB materialer'!AK$3))&lt;&gt;0,(SUMIFS(Effektmåling!$J$178:$J$182,Effektmåling!$D$178:$D$182,$B90,$AH$120:$AH$124,'DB materialer'!AK$3))*-T90,"")</f>
        <v/>
      </c>
      <c r="AM90" s="29" t="str">
        <f>IF((SUMIFS(Effektmåling!$J$163:$J$167,Effektmåling!$D$163:$D$167,$B90,$AO$120:$AO$124,'DB materialer'!AM$3))&lt;&gt;0,(SUMIFS(Effektmåling!$J$163:$J$167,Effektmåling!$D$163:$D$167,$B90,$AO$120:$AO$124,'DB materialer'!AM$3))*(-O90)*($C$122),"")</f>
        <v/>
      </c>
      <c r="AN90" s="29" t="str">
        <f>IF((SUMIFS(Effektmåling!$J$163:$J$167,Effektmåling!$D$163:$D$167,$B90,$AO$120:$AO$124,'DB materialer'!AN$3))&lt;&gt;0,(SUMIFS(Effektmåling!$J$163:$J$167,Effektmåling!$D$163:$D$167,$B90,$AO$120:$AO$124,'DB materialer'!AN$3))*(-P90)*($C$122),"")</f>
        <v/>
      </c>
      <c r="AO90" s="29" t="str">
        <f>IF((SUMIFS(Effektmåling!$J$163:$J$167,Effektmåling!$D$163:$D$167,$B90,$AO$120:$AO$124,'DB materialer'!AO$3))&lt;&gt;0,(SUMIFS(Effektmåling!$J$163:$J$167,Effektmåling!$D$163:$D$167,$B90,$AO$120:$AO$124,'DB materialer'!AO$3))*(-Q90)*($C$122),"")</f>
        <v/>
      </c>
      <c r="AP90" s="29" t="str">
        <f>IF((SUMIFS(Effektmåling!$J$163:$J$167,Effektmåling!$D$163:$D$167,$B90,$AO$120:$AO$124,'DB materialer'!AP$3))&lt;&gt;0,(SUMIFS(Effektmåling!$J$163:$J$167,Effektmåling!$D$163:$D$167,$B90,$AO$120:$AO$124,'DB materialer'!AP$3))*(-R90)*($C$122),"")</f>
        <v/>
      </c>
      <c r="AQ90" s="29" t="str">
        <f>IF((SUMIFS(Effektmåling!$J$163:$J$167,Effektmåling!$D$163:$D$167,$B90,$AO$120:$AO$124,'DB materialer'!AQ$3))&lt;&gt;0,(SUMIFS(Effektmåling!$J$163:$J$167,Effektmåling!$D$163:$D$167,$B90,$AO$120:$AO$124,'DB materialer'!AQ$3))*(-S90)*($C$122),"")</f>
        <v/>
      </c>
      <c r="AR90" s="29" t="str">
        <f>IF((SUMIFS(Effektmåling!$J$163:$J$167,Effektmåling!$D$163:$D$167,$B90,$AO$120:$AO$124,'DB materialer'!AR$3))&lt;&gt;0,(SUMIFS(Effektmåling!$J$163:$J$167,Effektmåling!$D$163:$D$167,$B90,$AO$120:$AO$124,'DB materialer'!AR$3))*(-T90)*($C$122),"")</f>
        <v/>
      </c>
      <c r="AT90" s="30">
        <f t="shared" si="79"/>
        <v>-3.806794848847725</v>
      </c>
      <c r="AU90" s="40">
        <f t="shared" si="80"/>
        <v>-0.18291009793529328</v>
      </c>
      <c r="AV90" s="41">
        <f t="shared" si="81"/>
        <v>-0.19850421686746988</v>
      </c>
      <c r="AW90" s="40">
        <f t="shared" si="82"/>
        <v>3.6238847509124317</v>
      </c>
      <c r="AX90" s="41">
        <f t="shared" si="83"/>
        <v>3.608290631980255</v>
      </c>
      <c r="AY90" s="41">
        <f t="shared" si="84"/>
        <v>-1.5594118932176604E-2</v>
      </c>
      <c r="BA90" s="29" t="str">
        <f>IF((SUMIFS(Effektmåling!$J$178:$J$182,Effektmåling!$D$178:$D$182,$B90,$AH$120:$AH$124,BA$3))&lt;&gt;0,(SUMIFS(Effektmåling!$J$178:$J$182,Effektmåling!$D$178:$D$182,$B90,$AH$120:$AH$124,BA$3))*-AT90,"")</f>
        <v/>
      </c>
      <c r="BB90" s="29" t="str">
        <f>IF((SUMIFS(Effektmåling!$J$178:$J$182,Effektmåling!$D$178:$D$182,$B90,$AH$120:$AH$124,BB$3))&lt;&gt;0,(SUMIFS(Effektmåling!$J$178:$J$182,Effektmåling!$D$178:$D$182,$B90,$AH$120:$AH$124,BB$3))*-AU90,"")</f>
        <v/>
      </c>
      <c r="BC90" s="29" t="str">
        <f>IF((SUMIFS(Effektmåling!$J$178:$J$182,Effektmåling!$D$178:$D$182,$B90,$AH$120:$AH$124,BC$3))&lt;&gt;0,(SUMIFS(Effektmåling!$J$178:$J$182,Effektmåling!$D$178:$D$182,$B90,$AH$120:$AH$124,BC$3))*-AV90,"")</f>
        <v/>
      </c>
      <c r="BD90" s="29" t="str">
        <f>IF((SUMIFS(Effektmåling!$J$178:$J$182,Effektmåling!$D$178:$D$182,$B90,$AH$120:$AH$124,BD$3))&lt;&gt;0,(SUMIFS(Effektmåling!$J$178:$J$182,Effektmåling!$D$178:$D$182,$B90,$AH$120:$AH$124,BD$3))*-AW90,"")</f>
        <v/>
      </c>
      <c r="BE90" s="29" t="str">
        <f>IF((SUMIFS(Effektmåling!$J$178:$J$182,Effektmåling!$D$178:$D$182,$B90,$AH$120:$AH$124,BE$3))&lt;&gt;0,(SUMIFS(Effektmåling!$J$178:$J$182,Effektmåling!$D$178:$D$182,$B90,$AH$120:$AH$124,BE$3))*-AX90,"")</f>
        <v/>
      </c>
      <c r="BF90" s="29" t="str">
        <f>IF((SUMIFS(Effektmåling!$J$178:$J$182,Effektmåling!$D$178:$D$182,$B90,$AH$120:$AH$124,BF$3))&lt;&gt;0,(SUMIFS(Effektmåling!$J$178:$J$182,Effektmåling!$D$178:$D$182,$B90,$AH$120:$AH$124,BF$3))*-AY90,"")</f>
        <v/>
      </c>
      <c r="BH90" s="29" t="str">
        <f>IF((SUMIFS(Effektmåling!$J$163:$J$167,Effektmåling!$D$163:$D$167,$B90,$AO$120:$AO$124,BH$3))&lt;&gt;0,(SUMIFS(Effektmåling!$J$163:$J$167,Effektmåling!$D$163:$D$167,$B90,$AO$120:$AO$124,BH$3))*-AT90,"")</f>
        <v/>
      </c>
      <c r="BI90" s="29" t="str">
        <f>IF((SUMIFS(Effektmåling!$J$163:$J$167,Effektmåling!$D$163:$D$167,$B90,$AO$120:$AO$124,BI$3))&lt;&gt;0,(SUMIFS(Effektmåling!$J$163:$J$167,Effektmåling!$D$163:$D$167,$B90,$AO$120:$AO$124,BI$3))*-AU90,"")</f>
        <v/>
      </c>
      <c r="BJ90" s="29" t="str">
        <f>IF((SUMIFS(Effektmåling!$J$163:$J$167,Effektmåling!$D$163:$D$167,$B90,$AO$120:$AO$124,BJ$3))&lt;&gt;0,(SUMIFS(Effektmåling!$J$163:$J$167,Effektmåling!$D$163:$D$167,$B90,$AO$120:$AO$124,BJ$3))*-AV90,"")</f>
        <v/>
      </c>
      <c r="BK90" s="29" t="str">
        <f>IF((SUMIFS(Effektmåling!$J$163:$J$167,Effektmåling!$D$163:$D$167,$B90,$AO$120:$AO$124,BK$3))&lt;&gt;0,(SUMIFS(Effektmåling!$J$163:$J$167,Effektmåling!$D$163:$D$167,$B90,$AO$120:$AO$124,BK$3))*-AW90,"")</f>
        <v/>
      </c>
      <c r="BL90" s="29" t="str">
        <f>IF((SUMIFS(Effektmåling!$J$163:$J$167,Effektmåling!$D$163:$D$167,$B90,$AO$120:$AO$124,BL$3))&lt;&gt;0,(SUMIFS(Effektmåling!$J$163:$J$167,Effektmåling!$D$163:$D$167,$B90,$AO$120:$AO$124,BL$3))*-AX90,"")</f>
        <v/>
      </c>
      <c r="BM90" s="29" t="str">
        <f>IF((SUMIFS(Effektmåling!$J$163:$J$167,Effektmåling!$D$163:$D$167,$B90,$AO$120:$AO$124,BM$3))&lt;&gt;0,(SUMIFS(Effektmåling!$J$163:$J$167,Effektmåling!$D$163:$D$167,$B90,$AO$120:$AO$124,BM$3))*-AY90,"")</f>
        <v/>
      </c>
    </row>
    <row r="91" spans="1:65" x14ac:dyDescent="0.15">
      <c r="A91" s="19">
        <f t="shared" si="75"/>
        <v>27</v>
      </c>
      <c r="B91" s="19" t="s">
        <v>273</v>
      </c>
      <c r="C91" s="18" t="s">
        <v>245</v>
      </c>
      <c r="D91" s="18" t="s">
        <v>245</v>
      </c>
      <c r="E91" s="18" t="s">
        <v>245</v>
      </c>
      <c r="F91" s="18" t="s">
        <v>245</v>
      </c>
      <c r="G91" s="18" t="s">
        <v>245</v>
      </c>
      <c r="H91" s="18" t="s">
        <v>245</v>
      </c>
      <c r="I91" s="18" t="s">
        <v>245</v>
      </c>
      <c r="J91" s="18" t="s">
        <v>245</v>
      </c>
      <c r="K91" s="18" t="s">
        <v>245</v>
      </c>
      <c r="L91" s="18" t="s">
        <v>245</v>
      </c>
      <c r="M91" s="18" t="s">
        <v>245</v>
      </c>
      <c r="O91" s="51"/>
      <c r="P91" s="480"/>
      <c r="Q91" s="480"/>
      <c r="R91" s="480"/>
      <c r="S91" s="480"/>
      <c r="T91" s="480"/>
      <c r="AE91" s="19">
        <f t="shared" si="76"/>
        <v>25</v>
      </c>
      <c r="AF91" s="45"/>
      <c r="AG91" s="45"/>
      <c r="AH91" s="45"/>
      <c r="AI91" s="45"/>
      <c r="AJ91" s="45"/>
      <c r="AK91" s="45"/>
      <c r="AM91" s="45"/>
      <c r="AN91" s="45"/>
      <c r="AO91" s="45"/>
      <c r="AP91" s="45"/>
      <c r="AQ91" s="45"/>
      <c r="AR91" s="45"/>
      <c r="AT91" s="47"/>
      <c r="AU91" s="149"/>
      <c r="AV91" s="51"/>
      <c r="AW91" s="149"/>
      <c r="AX91" s="51"/>
      <c r="AY91" s="51"/>
      <c r="BA91" s="45"/>
      <c r="BB91" s="45"/>
      <c r="BC91" s="45"/>
      <c r="BD91" s="45"/>
      <c r="BE91" s="45"/>
      <c r="BF91" s="45"/>
      <c r="BH91" s="45"/>
      <c r="BI91" s="45"/>
      <c r="BJ91" s="45"/>
      <c r="BK91" s="45"/>
      <c r="BL91" s="45"/>
      <c r="BM91" s="45"/>
    </row>
    <row r="92" spans="1:65" x14ac:dyDescent="0.15">
      <c r="A92" s="19">
        <f t="shared" si="75"/>
        <v>28</v>
      </c>
      <c r="B92" s="19" t="s">
        <v>274</v>
      </c>
      <c r="C92" s="19">
        <v>1</v>
      </c>
      <c r="D92" s="57">
        <v>0</v>
      </c>
      <c r="E92" s="57">
        <v>0</v>
      </c>
      <c r="F92" s="57">
        <v>0</v>
      </c>
      <c r="G92" s="22">
        <v>-2E-3</v>
      </c>
      <c r="H92" s="22">
        <f t="shared" ref="H92:H101" si="85">-D32</f>
        <v>-0.79749999999999999</v>
      </c>
      <c r="I92" s="57">
        <v>0</v>
      </c>
      <c r="J92" s="57">
        <v>0</v>
      </c>
      <c r="K92" s="57">
        <v>0</v>
      </c>
      <c r="L92" s="74">
        <v>0</v>
      </c>
      <c r="M92" s="74">
        <v>0</v>
      </c>
      <c r="O92" s="40">
        <f t="shared" ref="O92:O100" si="86">F92-E92</f>
        <v>0</v>
      </c>
      <c r="P92" s="480">
        <f>(IF(Effektmåling!$Q$241="Ja",-0.3*'DB materialer'!D32+G92,G92))-E92</f>
        <v>-2E-3</v>
      </c>
      <c r="Q92" s="480">
        <f>(IF(Effektmåling!$Q$241="Ja",1.3*H92,H92))-E92</f>
        <v>-0.79749999999999999</v>
      </c>
      <c r="R92" s="480">
        <f>(IF(Effektmåling!$Q$241="Ja",-0.3*'DB materialer'!D32+G92,G92))-F92</f>
        <v>-2E-3</v>
      </c>
      <c r="S92" s="480">
        <f>(IF(Effektmåling!$Q$241="Ja",1.3*H92,H92))-F92</f>
        <v>-0.79749999999999999</v>
      </c>
      <c r="T92" s="480">
        <f>(IF(Effektmåling!$Q$241="Ja",1.3*H92,H92))-(IF(Effektmåling!$Q$241="Ja",-0.3*'DB materialer'!D32+G92,G92))</f>
        <v>-0.79549999999999998</v>
      </c>
      <c r="AE92" s="19">
        <f t="shared" si="76"/>
        <v>26</v>
      </c>
      <c r="AF92" s="29" t="str">
        <f>IF((SUMIFS(Effektmåling!$J$178:$J$182,Effektmåling!$D$178:$D$182,$B92,$AH$120:$AH$124,'DB materialer'!AF$3))&lt;&gt;0,(SUMIFS(Effektmåling!$J$178:$J$182,Effektmåling!$D$178:$D$182,$B92,$AH$120:$AH$124,'DB materialer'!AF$3))*-O92,"")</f>
        <v/>
      </c>
      <c r="AG92" s="29" t="str">
        <f>IF((SUMIFS(Effektmåling!$J$178:$J$182,Effektmåling!$D$178:$D$182,$B92,$AH$120:$AH$124,'DB materialer'!AG$3))&lt;&gt;0,(SUMIFS(Effektmåling!$J$178:$J$182,Effektmåling!$D$178:$D$182,$B92,$AH$120:$AH$124,'DB materialer'!AG$3))*-P92,"")</f>
        <v/>
      </c>
      <c r="AH92" s="29" t="str">
        <f>IF((SUMIFS(Effektmåling!$J$178:$J$182,Effektmåling!$D$178:$D$182,$B92,$AH$120:$AH$124,'DB materialer'!AH$3))&lt;&gt;0,(SUMIFS(Effektmåling!$J$178:$J$182,Effektmåling!$D$178:$D$182,$B92,$AH$120:$AH$124,'DB materialer'!AH$3))*-Q92,"")</f>
        <v/>
      </c>
      <c r="AI92" s="29" t="str">
        <f>IF((SUMIFS(Effektmåling!$J$178:$J$182,Effektmåling!$D$178:$D$182,$B92,$AH$120:$AH$124,'DB materialer'!AI$3))&lt;&gt;0,(SUMIFS(Effektmåling!$J$178:$J$182,Effektmåling!$D$178:$D$182,$B92,$AH$120:$AH$124,'DB materialer'!AI$3))*-R92,"")</f>
        <v/>
      </c>
      <c r="AJ92" s="29" t="str">
        <f>IF((SUMIFS(Effektmåling!$J$178:$J$182,Effektmåling!$D$178:$D$182,$B92,$AH$120:$AH$124,'DB materialer'!AJ$3))&lt;&gt;0,(SUMIFS(Effektmåling!$J$178:$J$182,Effektmåling!$D$178:$D$182,$B92,$AH$120:$AH$124,'DB materialer'!AJ$3))*-S92,"")</f>
        <v/>
      </c>
      <c r="AK92" s="29" t="str">
        <f>IF((SUMIFS(Effektmåling!$J$178:$J$182,Effektmåling!$D$178:$D$182,$B92,$AH$120:$AH$124,'DB materialer'!AK$3))&lt;&gt;0,(SUMIFS(Effektmåling!$J$178:$J$182,Effektmåling!$D$178:$D$182,$B92,$AH$120:$AH$124,'DB materialer'!AK$3))*-T92,"")</f>
        <v/>
      </c>
      <c r="AM92" s="29" t="str">
        <f>IF((SUMIFS(Effektmåling!$J$163:$J$167,Effektmåling!$D$163:$D$167,$B92,$AO$120:$AO$124,'DB materialer'!AM$3))&lt;&gt;0,(SUMIFS(Effektmåling!$J$163:$J$167,Effektmåling!$D$163:$D$167,$B92,$AO$120:$AO$124,'DB materialer'!AM$3))*(-O92)*($C$122),"")</f>
        <v/>
      </c>
      <c r="AN92" s="29" t="str">
        <f>IF((SUMIFS(Effektmåling!$J$163:$J$167,Effektmåling!$D$163:$D$167,$B92,$AO$120:$AO$124,'DB materialer'!AN$3))&lt;&gt;0,(SUMIFS(Effektmåling!$J$163:$J$167,Effektmåling!$D$163:$D$167,$B92,$AO$120:$AO$124,'DB materialer'!AN$3))*(-P92)*($C$122),"")</f>
        <v/>
      </c>
      <c r="AO92" s="29" t="str">
        <f>IF((SUMIFS(Effektmåling!$J$163:$J$167,Effektmåling!$D$163:$D$167,$B92,$AO$120:$AO$124,'DB materialer'!AO$3))&lt;&gt;0,(SUMIFS(Effektmåling!$J$163:$J$167,Effektmåling!$D$163:$D$167,$B92,$AO$120:$AO$124,'DB materialer'!AO$3))*(-Q92)*($C$122),"")</f>
        <v/>
      </c>
      <c r="AP92" s="29" t="str">
        <f>IF((SUMIFS(Effektmåling!$J$163:$J$167,Effektmåling!$D$163:$D$167,$B92,$AO$120:$AO$124,'DB materialer'!AP$3))&lt;&gt;0,(SUMIFS(Effektmåling!$J$163:$J$167,Effektmåling!$D$163:$D$167,$B92,$AO$120:$AO$124,'DB materialer'!AP$3))*(-R92)*($C$122),"")</f>
        <v/>
      </c>
      <c r="AQ92" s="29" t="str">
        <f>IF((SUMIFS(Effektmåling!$J$163:$J$167,Effektmåling!$D$163:$D$167,$B92,$AO$120:$AO$124,'DB materialer'!AQ$3))&lt;&gt;0,(SUMIFS(Effektmåling!$J$163:$J$167,Effektmåling!$D$163:$D$167,$B92,$AO$120:$AO$124,'DB materialer'!AQ$3))*(-S92)*($C$122),"")</f>
        <v/>
      </c>
      <c r="AR92" s="29" t="str">
        <f>IF((SUMIFS(Effektmåling!$J$163:$J$167,Effektmåling!$D$163:$D$167,$B92,$AO$120:$AO$124,'DB materialer'!AR$3))&lt;&gt;0,(SUMIFS(Effektmåling!$J$163:$J$167,Effektmåling!$D$163:$D$167,$B92,$AO$120:$AO$124,'DB materialer'!AR$3))*(-T92)*($C$122),"")</f>
        <v/>
      </c>
      <c r="AT92" s="30">
        <f t="shared" ref="AT92:AT100" si="87">IF((K92-J92)=0,1E-30,K92-J92)</f>
        <v>1.0000000000000001E-30</v>
      </c>
      <c r="AU92" s="40">
        <f t="shared" ref="AU92:AU100" si="88">IF((L92-J92)=0,1E-30,L92-J92)</f>
        <v>1.0000000000000001E-30</v>
      </c>
      <c r="AV92" s="41">
        <f t="shared" ref="AV92:AV100" si="89">IF((M92-J92)=0,1E-30,M92-J92)</f>
        <v>1.0000000000000001E-30</v>
      </c>
      <c r="AW92" s="40">
        <f t="shared" ref="AW92:AW100" si="90">IF((L92-K92)=0,1E-30,L92-K92)</f>
        <v>1.0000000000000001E-30</v>
      </c>
      <c r="AX92" s="41">
        <f t="shared" ref="AX92:AX100" si="91">IF((M92-K92)=0,1E-30,M92-K92)</f>
        <v>1.0000000000000001E-30</v>
      </c>
      <c r="AY92" s="41">
        <f t="shared" ref="AY92:AY100" si="92">IF((M92-L92)=0,1E-30,M92-L92)</f>
        <v>1.0000000000000001E-30</v>
      </c>
      <c r="BA92" s="29" t="str">
        <f>IF((SUMIFS(Effektmåling!$J$178:$J$182,Effektmåling!$D$178:$D$182,$B92,$AH$120:$AH$124,BA$3))&lt;&gt;0,(SUMIFS(Effektmåling!$J$178:$J$182,Effektmåling!$D$178:$D$182,$B92,$AH$120:$AH$124,BA$3))*-AT92,"")</f>
        <v/>
      </c>
      <c r="BB92" s="29" t="str">
        <f>IF((SUMIFS(Effektmåling!$J$178:$J$182,Effektmåling!$D$178:$D$182,$B92,$AH$120:$AH$124,BB$3))&lt;&gt;0,(SUMIFS(Effektmåling!$J$178:$J$182,Effektmåling!$D$178:$D$182,$B92,$AH$120:$AH$124,BB$3))*-AU92,"")</f>
        <v/>
      </c>
      <c r="BC92" s="29" t="str">
        <f>IF((SUMIFS(Effektmåling!$J$178:$J$182,Effektmåling!$D$178:$D$182,$B92,$AH$120:$AH$124,BC$3))&lt;&gt;0,(SUMIFS(Effektmåling!$J$178:$J$182,Effektmåling!$D$178:$D$182,$B92,$AH$120:$AH$124,BC$3))*-AV92,"")</f>
        <v/>
      </c>
      <c r="BD92" s="29" t="str">
        <f>IF((SUMIFS(Effektmåling!$J$178:$J$182,Effektmåling!$D$178:$D$182,$B92,$AH$120:$AH$124,BD$3))&lt;&gt;0,(SUMIFS(Effektmåling!$J$178:$J$182,Effektmåling!$D$178:$D$182,$B92,$AH$120:$AH$124,BD$3))*-AW92,"")</f>
        <v/>
      </c>
      <c r="BE92" s="29" t="str">
        <f>IF((SUMIFS(Effektmåling!$J$178:$J$182,Effektmåling!$D$178:$D$182,$B92,$AH$120:$AH$124,BE$3))&lt;&gt;0,(SUMIFS(Effektmåling!$J$178:$J$182,Effektmåling!$D$178:$D$182,$B92,$AH$120:$AH$124,BE$3))*-AX92,"")</f>
        <v/>
      </c>
      <c r="BF92" s="29" t="str">
        <f>IF((SUMIFS(Effektmåling!$J$178:$J$182,Effektmåling!$D$178:$D$182,$B92,$AH$120:$AH$124,BF$3))&lt;&gt;0,(SUMIFS(Effektmåling!$J$178:$J$182,Effektmåling!$D$178:$D$182,$B92,$AH$120:$AH$124,BF$3))*-AY92,"")</f>
        <v/>
      </c>
      <c r="BH92" s="29" t="str">
        <f>IF((SUMIFS(Effektmåling!$J$163:$J$167,Effektmåling!$D$163:$D$167,$B92,$AO$120:$AO$124,BH$3))&lt;&gt;0,(SUMIFS(Effektmåling!$J$163:$J$167,Effektmåling!$D$163:$D$167,$B92,$AO$120:$AO$124,BH$3))*-AT92,"")</f>
        <v/>
      </c>
      <c r="BI92" s="29" t="str">
        <f>IF((SUMIFS(Effektmåling!$J$163:$J$167,Effektmåling!$D$163:$D$167,$B92,$AO$120:$AO$124,BI$3))&lt;&gt;0,(SUMIFS(Effektmåling!$J$163:$J$167,Effektmåling!$D$163:$D$167,$B92,$AO$120:$AO$124,BI$3))*-AU92,"")</f>
        <v/>
      </c>
      <c r="BJ92" s="29" t="str">
        <f>IF((SUMIFS(Effektmåling!$J$163:$J$167,Effektmåling!$D$163:$D$167,$B92,$AO$120:$AO$124,BJ$3))&lt;&gt;0,(SUMIFS(Effektmåling!$J$163:$J$167,Effektmåling!$D$163:$D$167,$B92,$AO$120:$AO$124,BJ$3))*-AV92,"")</f>
        <v/>
      </c>
      <c r="BK92" s="29" t="str">
        <f>IF((SUMIFS(Effektmåling!$J$163:$J$167,Effektmåling!$D$163:$D$167,$B92,$AO$120:$AO$124,BK$3))&lt;&gt;0,(SUMIFS(Effektmåling!$J$163:$J$167,Effektmåling!$D$163:$D$167,$B92,$AO$120:$AO$124,BK$3))*-AW92,"")</f>
        <v/>
      </c>
      <c r="BL92" s="29" t="str">
        <f>IF((SUMIFS(Effektmåling!$J$163:$J$167,Effektmåling!$D$163:$D$167,$B92,$AO$120:$AO$124,BL$3))&lt;&gt;0,(SUMIFS(Effektmåling!$J$163:$J$167,Effektmåling!$D$163:$D$167,$B92,$AO$120:$AO$124,BL$3))*-AX92,"")</f>
        <v/>
      </c>
      <c r="BM92" s="29" t="str">
        <f>IF((SUMIFS(Effektmåling!$J$163:$J$167,Effektmåling!$D$163:$D$167,$B92,$AO$120:$AO$124,BM$3))&lt;&gt;0,(SUMIFS(Effektmåling!$J$163:$J$167,Effektmåling!$D$163:$D$167,$B92,$AO$120:$AO$124,BM$3))*-AY92,"")</f>
        <v/>
      </c>
    </row>
    <row r="93" spans="1:65" x14ac:dyDescent="0.15">
      <c r="A93" s="19">
        <f t="shared" si="75"/>
        <v>29</v>
      </c>
      <c r="B93" s="19" t="s">
        <v>275</v>
      </c>
      <c r="C93" s="19">
        <v>1</v>
      </c>
      <c r="D93" s="57">
        <v>0</v>
      </c>
      <c r="E93" s="57">
        <v>0</v>
      </c>
      <c r="F93" s="57">
        <v>0</v>
      </c>
      <c r="G93" s="22">
        <v>-2E-3</v>
      </c>
      <c r="H93" s="22">
        <f t="shared" si="85"/>
        <v>-0.14630000000000001</v>
      </c>
      <c r="I93" s="57">
        <v>0</v>
      </c>
      <c r="J93" s="57">
        <v>0</v>
      </c>
      <c r="K93" s="57">
        <v>0</v>
      </c>
      <c r="L93" s="74">
        <v>0</v>
      </c>
      <c r="M93" s="74">
        <v>0</v>
      </c>
      <c r="O93" s="40">
        <f t="shared" si="86"/>
        <v>0</v>
      </c>
      <c r="P93" s="480">
        <f>(IF(Effektmåling!$Q$241="Ja",-0.3*'DB materialer'!D33+G93,G93))-E93</f>
        <v>-2E-3</v>
      </c>
      <c r="Q93" s="480">
        <f>(IF(Effektmåling!$Q$241="Ja",1.3*H93,H93))-E93</f>
        <v>-0.14630000000000001</v>
      </c>
      <c r="R93" s="480">
        <f>(IF(Effektmåling!$Q$241="Ja",-0.3*'DB materialer'!D33+G93,G93))-F93</f>
        <v>-2E-3</v>
      </c>
      <c r="S93" s="480">
        <f>(IF(Effektmåling!$Q$241="Ja",1.3*H93,H93))-F93</f>
        <v>-0.14630000000000001</v>
      </c>
      <c r="T93" s="480">
        <f>(IF(Effektmåling!$Q$241="Ja",1.3*H93,H93))-(IF(Effektmåling!$Q$241="Ja",-0.3*'DB materialer'!D33+G93,G93))</f>
        <v>-0.14430000000000001</v>
      </c>
      <c r="AE93" s="19">
        <f t="shared" si="76"/>
        <v>27</v>
      </c>
      <c r="AF93" s="29" t="str">
        <f>IF((SUMIFS(Effektmåling!$J$178:$J$182,Effektmåling!$D$178:$D$182,$B93,$AH$120:$AH$124,'DB materialer'!AF$3))&lt;&gt;0,(SUMIFS(Effektmåling!$J$178:$J$182,Effektmåling!$D$178:$D$182,$B93,$AH$120:$AH$124,'DB materialer'!AF$3))*-O93,"")</f>
        <v/>
      </c>
      <c r="AG93" s="29" t="str">
        <f>IF((SUMIFS(Effektmåling!$J$178:$J$182,Effektmåling!$D$178:$D$182,$B93,$AH$120:$AH$124,'DB materialer'!AG$3))&lt;&gt;0,(SUMIFS(Effektmåling!$J$178:$J$182,Effektmåling!$D$178:$D$182,$B93,$AH$120:$AH$124,'DB materialer'!AG$3))*-P93,"")</f>
        <v/>
      </c>
      <c r="AH93" s="29" t="str">
        <f>IF((SUMIFS(Effektmåling!$J$178:$J$182,Effektmåling!$D$178:$D$182,$B93,$AH$120:$AH$124,'DB materialer'!AH$3))&lt;&gt;0,(SUMIFS(Effektmåling!$J$178:$J$182,Effektmåling!$D$178:$D$182,$B93,$AH$120:$AH$124,'DB materialer'!AH$3))*-Q93,"")</f>
        <v/>
      </c>
      <c r="AI93" s="29" t="str">
        <f>IF((SUMIFS(Effektmåling!$J$178:$J$182,Effektmåling!$D$178:$D$182,$B93,$AH$120:$AH$124,'DB materialer'!AI$3))&lt;&gt;0,(SUMIFS(Effektmåling!$J$178:$J$182,Effektmåling!$D$178:$D$182,$B93,$AH$120:$AH$124,'DB materialer'!AI$3))*-R93,"")</f>
        <v/>
      </c>
      <c r="AJ93" s="29" t="str">
        <f>IF((SUMIFS(Effektmåling!$J$178:$J$182,Effektmåling!$D$178:$D$182,$B93,$AH$120:$AH$124,'DB materialer'!AJ$3))&lt;&gt;0,(SUMIFS(Effektmåling!$J$178:$J$182,Effektmåling!$D$178:$D$182,$B93,$AH$120:$AH$124,'DB materialer'!AJ$3))*-S93,"")</f>
        <v/>
      </c>
      <c r="AK93" s="29" t="str">
        <f>IF((SUMIFS(Effektmåling!$J$178:$J$182,Effektmåling!$D$178:$D$182,$B93,$AH$120:$AH$124,'DB materialer'!AK$3))&lt;&gt;0,(SUMIFS(Effektmåling!$J$178:$J$182,Effektmåling!$D$178:$D$182,$B93,$AH$120:$AH$124,'DB materialer'!AK$3))*-T93,"")</f>
        <v/>
      </c>
      <c r="AM93" s="29" t="str">
        <f>IF((SUMIFS(Effektmåling!$J$163:$J$167,Effektmåling!$D$163:$D$167,$B93,$AO$120:$AO$124,'DB materialer'!AM$3))&lt;&gt;0,(SUMIFS(Effektmåling!$J$163:$J$167,Effektmåling!$D$163:$D$167,$B93,$AO$120:$AO$124,'DB materialer'!AM$3))*(-O93)*($C$122),"")</f>
        <v/>
      </c>
      <c r="AN93" s="29" t="str">
        <f>IF((SUMIFS(Effektmåling!$J$163:$J$167,Effektmåling!$D$163:$D$167,$B93,$AO$120:$AO$124,'DB materialer'!AN$3))&lt;&gt;0,(SUMIFS(Effektmåling!$J$163:$J$167,Effektmåling!$D$163:$D$167,$B93,$AO$120:$AO$124,'DB materialer'!AN$3))*(-P93)*($C$122),"")</f>
        <v/>
      </c>
      <c r="AO93" s="29" t="str">
        <f>IF((SUMIFS(Effektmåling!$J$163:$J$167,Effektmåling!$D$163:$D$167,$B93,$AO$120:$AO$124,'DB materialer'!AO$3))&lt;&gt;0,(SUMIFS(Effektmåling!$J$163:$J$167,Effektmåling!$D$163:$D$167,$B93,$AO$120:$AO$124,'DB materialer'!AO$3))*(-Q93)*($C$122),"")</f>
        <v/>
      </c>
      <c r="AP93" s="29" t="str">
        <f>IF((SUMIFS(Effektmåling!$J$163:$J$167,Effektmåling!$D$163:$D$167,$B93,$AO$120:$AO$124,'DB materialer'!AP$3))&lt;&gt;0,(SUMIFS(Effektmåling!$J$163:$J$167,Effektmåling!$D$163:$D$167,$B93,$AO$120:$AO$124,'DB materialer'!AP$3))*(-R93)*($C$122),"")</f>
        <v/>
      </c>
      <c r="AQ93" s="29" t="str">
        <f>IF((SUMIFS(Effektmåling!$J$163:$J$167,Effektmåling!$D$163:$D$167,$B93,$AO$120:$AO$124,'DB materialer'!AQ$3))&lt;&gt;0,(SUMIFS(Effektmåling!$J$163:$J$167,Effektmåling!$D$163:$D$167,$B93,$AO$120:$AO$124,'DB materialer'!AQ$3))*(-S93)*($C$122),"")</f>
        <v/>
      </c>
      <c r="AR93" s="29" t="str">
        <f>IF((SUMIFS(Effektmåling!$J$163:$J$167,Effektmåling!$D$163:$D$167,$B93,$AO$120:$AO$124,'DB materialer'!AR$3))&lt;&gt;0,(SUMIFS(Effektmåling!$J$163:$J$167,Effektmåling!$D$163:$D$167,$B93,$AO$120:$AO$124,'DB materialer'!AR$3))*(-T93)*($C$122),"")</f>
        <v/>
      </c>
      <c r="AT93" s="30">
        <f t="shared" si="87"/>
        <v>1.0000000000000001E-30</v>
      </c>
      <c r="AU93" s="40">
        <f t="shared" si="88"/>
        <v>1.0000000000000001E-30</v>
      </c>
      <c r="AV93" s="41">
        <f t="shared" si="89"/>
        <v>1.0000000000000001E-30</v>
      </c>
      <c r="AW93" s="40">
        <f t="shared" si="90"/>
        <v>1.0000000000000001E-30</v>
      </c>
      <c r="AX93" s="41">
        <f t="shared" si="91"/>
        <v>1.0000000000000001E-30</v>
      </c>
      <c r="AY93" s="41">
        <f t="shared" si="92"/>
        <v>1.0000000000000001E-30</v>
      </c>
      <c r="BA93" s="29" t="str">
        <f>IF((SUMIFS(Effektmåling!$J$178:$J$182,Effektmåling!$D$178:$D$182,$B93,$AH$120:$AH$124,BA$3))&lt;&gt;0,(SUMIFS(Effektmåling!$J$178:$J$182,Effektmåling!$D$178:$D$182,$B93,$AH$120:$AH$124,BA$3))*-AT93,"")</f>
        <v/>
      </c>
      <c r="BB93" s="29" t="str">
        <f>IF((SUMIFS(Effektmåling!$J$178:$J$182,Effektmåling!$D$178:$D$182,$B93,$AH$120:$AH$124,BB$3))&lt;&gt;0,(SUMIFS(Effektmåling!$J$178:$J$182,Effektmåling!$D$178:$D$182,$B93,$AH$120:$AH$124,BB$3))*-AU93,"")</f>
        <v/>
      </c>
      <c r="BC93" s="29" t="str">
        <f>IF((SUMIFS(Effektmåling!$J$178:$J$182,Effektmåling!$D$178:$D$182,$B93,$AH$120:$AH$124,BC$3))&lt;&gt;0,(SUMIFS(Effektmåling!$J$178:$J$182,Effektmåling!$D$178:$D$182,$B93,$AH$120:$AH$124,BC$3))*-AV93,"")</f>
        <v/>
      </c>
      <c r="BD93" s="29" t="str">
        <f>IF((SUMIFS(Effektmåling!$J$178:$J$182,Effektmåling!$D$178:$D$182,$B93,$AH$120:$AH$124,BD$3))&lt;&gt;0,(SUMIFS(Effektmåling!$J$178:$J$182,Effektmåling!$D$178:$D$182,$B93,$AH$120:$AH$124,BD$3))*-AW93,"")</f>
        <v/>
      </c>
      <c r="BE93" s="29" t="str">
        <f>IF((SUMIFS(Effektmåling!$J$178:$J$182,Effektmåling!$D$178:$D$182,$B93,$AH$120:$AH$124,BE$3))&lt;&gt;0,(SUMIFS(Effektmåling!$J$178:$J$182,Effektmåling!$D$178:$D$182,$B93,$AH$120:$AH$124,BE$3))*-AX93,"")</f>
        <v/>
      </c>
      <c r="BF93" s="29" t="str">
        <f>IF((SUMIFS(Effektmåling!$J$178:$J$182,Effektmåling!$D$178:$D$182,$B93,$AH$120:$AH$124,BF$3))&lt;&gt;0,(SUMIFS(Effektmåling!$J$178:$J$182,Effektmåling!$D$178:$D$182,$B93,$AH$120:$AH$124,BF$3))*-AY93,"")</f>
        <v/>
      </c>
      <c r="BH93" s="29" t="str">
        <f>IF((SUMIFS(Effektmåling!$J$163:$J$167,Effektmåling!$D$163:$D$167,$B93,$AO$120:$AO$124,BH$3))&lt;&gt;0,(SUMIFS(Effektmåling!$J$163:$J$167,Effektmåling!$D$163:$D$167,$B93,$AO$120:$AO$124,BH$3))*-AT93,"")</f>
        <v/>
      </c>
      <c r="BI93" s="29" t="str">
        <f>IF((SUMIFS(Effektmåling!$J$163:$J$167,Effektmåling!$D$163:$D$167,$B93,$AO$120:$AO$124,BI$3))&lt;&gt;0,(SUMIFS(Effektmåling!$J$163:$J$167,Effektmåling!$D$163:$D$167,$B93,$AO$120:$AO$124,BI$3))*-AU93,"")</f>
        <v/>
      </c>
      <c r="BJ93" s="29" t="str">
        <f>IF((SUMIFS(Effektmåling!$J$163:$J$167,Effektmåling!$D$163:$D$167,$B93,$AO$120:$AO$124,BJ$3))&lt;&gt;0,(SUMIFS(Effektmåling!$J$163:$J$167,Effektmåling!$D$163:$D$167,$B93,$AO$120:$AO$124,BJ$3))*-AV93,"")</f>
        <v/>
      </c>
      <c r="BK93" s="29" t="str">
        <f>IF((SUMIFS(Effektmåling!$J$163:$J$167,Effektmåling!$D$163:$D$167,$B93,$AO$120:$AO$124,BK$3))&lt;&gt;0,(SUMIFS(Effektmåling!$J$163:$J$167,Effektmåling!$D$163:$D$167,$B93,$AO$120:$AO$124,BK$3))*-AW93,"")</f>
        <v/>
      </c>
      <c r="BL93" s="29" t="str">
        <f>IF((SUMIFS(Effektmåling!$J$163:$J$167,Effektmåling!$D$163:$D$167,$B93,$AO$120:$AO$124,BL$3))&lt;&gt;0,(SUMIFS(Effektmåling!$J$163:$J$167,Effektmåling!$D$163:$D$167,$B93,$AO$120:$AO$124,BL$3))*-AX93,"")</f>
        <v/>
      </c>
      <c r="BM93" s="29" t="str">
        <f>IF((SUMIFS(Effektmåling!$J$163:$J$167,Effektmåling!$D$163:$D$167,$B93,$AO$120:$AO$124,BM$3))&lt;&gt;0,(SUMIFS(Effektmåling!$J$163:$J$167,Effektmåling!$D$163:$D$167,$B93,$AO$120:$AO$124,BM$3))*-AY93,"")</f>
        <v/>
      </c>
    </row>
    <row r="94" spans="1:65" x14ac:dyDescent="0.15">
      <c r="A94" s="19">
        <f t="shared" si="75"/>
        <v>30</v>
      </c>
      <c r="B94" s="19" t="s">
        <v>276</v>
      </c>
      <c r="C94" s="19">
        <v>1</v>
      </c>
      <c r="D94" s="57">
        <v>0</v>
      </c>
      <c r="E94" s="57">
        <v>0</v>
      </c>
      <c r="F94" s="57">
        <v>0</v>
      </c>
      <c r="G94" s="24">
        <v>-2E-3</v>
      </c>
      <c r="H94" s="22">
        <f t="shared" si="85"/>
        <v>-2.0999999999999999E-3</v>
      </c>
      <c r="I94" s="57">
        <v>0</v>
      </c>
      <c r="J94" s="57">
        <v>0</v>
      </c>
      <c r="K94" s="57">
        <v>0</v>
      </c>
      <c r="L94" s="74">
        <v>0</v>
      </c>
      <c r="M94" s="74">
        <v>0</v>
      </c>
      <c r="O94" s="40">
        <f t="shared" si="86"/>
        <v>0</v>
      </c>
      <c r="P94" s="480">
        <f>(IF(Effektmåling!$Q$241="Ja",-0.3*'DB materialer'!D34+G94,G94))-E94</f>
        <v>-2E-3</v>
      </c>
      <c r="Q94" s="480">
        <f>(IF(Effektmåling!$Q$241="Ja",1.3*H94,H94))-E94</f>
        <v>-2.0999999999999999E-3</v>
      </c>
      <c r="R94" s="480">
        <f>(IF(Effektmåling!$Q$241="Ja",-0.3*'DB materialer'!D34+G94,G94))-F94</f>
        <v>-2E-3</v>
      </c>
      <c r="S94" s="480">
        <f>(IF(Effektmåling!$Q$241="Ja",1.3*H94,H94))-F94</f>
        <v>-2.0999999999999999E-3</v>
      </c>
      <c r="T94" s="480">
        <f>(IF(Effektmåling!$Q$241="Ja",1.3*H94,H94))-(IF(Effektmåling!$Q$241="Ja",-0.3*'DB materialer'!D34+G94,G94))</f>
        <v>-9.9999999999999829E-5</v>
      </c>
      <c r="AE94" s="19">
        <f t="shared" si="76"/>
        <v>28</v>
      </c>
      <c r="AF94" s="29" t="str">
        <f>IF((SUMIFS(Effektmåling!$J$178:$J$182,Effektmåling!$D$178:$D$182,$B94,$AH$120:$AH$124,'DB materialer'!AF$3))&lt;&gt;0,(SUMIFS(Effektmåling!$J$178:$J$182,Effektmåling!$D$178:$D$182,$B94,$AH$120:$AH$124,'DB materialer'!AF$3))*-O94,"")</f>
        <v/>
      </c>
      <c r="AG94" s="29" t="str">
        <f>IF((SUMIFS(Effektmåling!$J$178:$J$182,Effektmåling!$D$178:$D$182,$B94,$AH$120:$AH$124,'DB materialer'!AG$3))&lt;&gt;0,(SUMIFS(Effektmåling!$J$178:$J$182,Effektmåling!$D$178:$D$182,$B94,$AH$120:$AH$124,'DB materialer'!AG$3))*-P94,"")</f>
        <v/>
      </c>
      <c r="AH94" s="29" t="str">
        <f>IF((SUMIFS(Effektmåling!$J$178:$J$182,Effektmåling!$D$178:$D$182,$B94,$AH$120:$AH$124,'DB materialer'!AH$3))&lt;&gt;0,(SUMIFS(Effektmåling!$J$178:$J$182,Effektmåling!$D$178:$D$182,$B94,$AH$120:$AH$124,'DB materialer'!AH$3))*-Q94,"")</f>
        <v/>
      </c>
      <c r="AI94" s="29" t="str">
        <f>IF((SUMIFS(Effektmåling!$J$178:$J$182,Effektmåling!$D$178:$D$182,$B94,$AH$120:$AH$124,'DB materialer'!AI$3))&lt;&gt;0,(SUMIFS(Effektmåling!$J$178:$J$182,Effektmåling!$D$178:$D$182,$B94,$AH$120:$AH$124,'DB materialer'!AI$3))*-R94,"")</f>
        <v/>
      </c>
      <c r="AJ94" s="29" t="str">
        <f>IF((SUMIFS(Effektmåling!$J$178:$J$182,Effektmåling!$D$178:$D$182,$B94,$AH$120:$AH$124,'DB materialer'!AJ$3))&lt;&gt;0,(SUMIFS(Effektmåling!$J$178:$J$182,Effektmåling!$D$178:$D$182,$B94,$AH$120:$AH$124,'DB materialer'!AJ$3))*-S94,"")</f>
        <v/>
      </c>
      <c r="AK94" s="29" t="str">
        <f>IF((SUMIFS(Effektmåling!$J$178:$J$182,Effektmåling!$D$178:$D$182,$B94,$AH$120:$AH$124,'DB materialer'!AK$3))&lt;&gt;0,(SUMIFS(Effektmåling!$J$178:$J$182,Effektmåling!$D$178:$D$182,$B94,$AH$120:$AH$124,'DB materialer'!AK$3))*-T94,"")</f>
        <v/>
      </c>
      <c r="AM94" s="29" t="str">
        <f>IF((SUMIFS(Effektmåling!$J$163:$J$167,Effektmåling!$D$163:$D$167,$B94,$AO$120:$AO$124,'DB materialer'!AM$3))&lt;&gt;0,(SUMIFS(Effektmåling!$J$163:$J$167,Effektmåling!$D$163:$D$167,$B94,$AO$120:$AO$124,'DB materialer'!AM$3))*(-O94)*($C$122),"")</f>
        <v/>
      </c>
      <c r="AN94" s="29" t="str">
        <f>IF((SUMIFS(Effektmåling!$J$163:$J$167,Effektmåling!$D$163:$D$167,$B94,$AO$120:$AO$124,'DB materialer'!AN$3))&lt;&gt;0,(SUMIFS(Effektmåling!$J$163:$J$167,Effektmåling!$D$163:$D$167,$B94,$AO$120:$AO$124,'DB materialer'!AN$3))*(-P94)*($C$122),"")</f>
        <v/>
      </c>
      <c r="AO94" s="29" t="str">
        <f>IF((SUMIFS(Effektmåling!$J$163:$J$167,Effektmåling!$D$163:$D$167,$B94,$AO$120:$AO$124,'DB materialer'!AO$3))&lt;&gt;0,(SUMIFS(Effektmåling!$J$163:$J$167,Effektmåling!$D$163:$D$167,$B94,$AO$120:$AO$124,'DB materialer'!AO$3))*(-Q94)*($C$122),"")</f>
        <v/>
      </c>
      <c r="AP94" s="29" t="str">
        <f>IF((SUMIFS(Effektmåling!$J$163:$J$167,Effektmåling!$D$163:$D$167,$B94,$AO$120:$AO$124,'DB materialer'!AP$3))&lt;&gt;0,(SUMIFS(Effektmåling!$J$163:$J$167,Effektmåling!$D$163:$D$167,$B94,$AO$120:$AO$124,'DB materialer'!AP$3))*(-R94)*($C$122),"")</f>
        <v/>
      </c>
      <c r="AQ94" s="29" t="str">
        <f>IF((SUMIFS(Effektmåling!$J$163:$J$167,Effektmåling!$D$163:$D$167,$B94,$AO$120:$AO$124,'DB materialer'!AQ$3))&lt;&gt;0,(SUMIFS(Effektmåling!$J$163:$J$167,Effektmåling!$D$163:$D$167,$B94,$AO$120:$AO$124,'DB materialer'!AQ$3))*(-S94)*($C$122),"")</f>
        <v/>
      </c>
      <c r="AR94" s="29" t="str">
        <f>IF((SUMIFS(Effektmåling!$J$163:$J$167,Effektmåling!$D$163:$D$167,$B94,$AO$120:$AO$124,'DB materialer'!AR$3))&lt;&gt;0,(SUMIFS(Effektmåling!$J$163:$J$167,Effektmåling!$D$163:$D$167,$B94,$AO$120:$AO$124,'DB materialer'!AR$3))*(-T94)*($C$122),"")</f>
        <v/>
      </c>
      <c r="AT94" s="30">
        <f t="shared" si="87"/>
        <v>1.0000000000000001E-30</v>
      </c>
      <c r="AU94" s="40">
        <f t="shared" si="88"/>
        <v>1.0000000000000001E-30</v>
      </c>
      <c r="AV94" s="41">
        <f t="shared" si="89"/>
        <v>1.0000000000000001E-30</v>
      </c>
      <c r="AW94" s="40">
        <f t="shared" si="90"/>
        <v>1.0000000000000001E-30</v>
      </c>
      <c r="AX94" s="41">
        <f t="shared" si="91"/>
        <v>1.0000000000000001E-30</v>
      </c>
      <c r="AY94" s="41">
        <f t="shared" si="92"/>
        <v>1.0000000000000001E-30</v>
      </c>
      <c r="BA94" s="29" t="str">
        <f>IF((SUMIFS(Effektmåling!$J$178:$J$182,Effektmåling!$D$178:$D$182,$B94,$AH$120:$AH$124,BA$3))&lt;&gt;0,(SUMIFS(Effektmåling!$J$178:$J$182,Effektmåling!$D$178:$D$182,$B94,$AH$120:$AH$124,BA$3))*-AT94,"")</f>
        <v/>
      </c>
      <c r="BB94" s="29" t="str">
        <f>IF((SUMIFS(Effektmåling!$J$178:$J$182,Effektmåling!$D$178:$D$182,$B94,$AH$120:$AH$124,BB$3))&lt;&gt;0,(SUMIFS(Effektmåling!$J$178:$J$182,Effektmåling!$D$178:$D$182,$B94,$AH$120:$AH$124,BB$3))*-AU94,"")</f>
        <v/>
      </c>
      <c r="BC94" s="29" t="str">
        <f>IF((SUMIFS(Effektmåling!$J$178:$J$182,Effektmåling!$D$178:$D$182,$B94,$AH$120:$AH$124,BC$3))&lt;&gt;0,(SUMIFS(Effektmåling!$J$178:$J$182,Effektmåling!$D$178:$D$182,$B94,$AH$120:$AH$124,BC$3))*-AV94,"")</f>
        <v/>
      </c>
      <c r="BD94" s="29" t="str">
        <f>IF((SUMIFS(Effektmåling!$J$178:$J$182,Effektmåling!$D$178:$D$182,$B94,$AH$120:$AH$124,BD$3))&lt;&gt;0,(SUMIFS(Effektmåling!$J$178:$J$182,Effektmåling!$D$178:$D$182,$B94,$AH$120:$AH$124,BD$3))*-AW94,"")</f>
        <v/>
      </c>
      <c r="BE94" s="29" t="str">
        <f>IF((SUMIFS(Effektmåling!$J$178:$J$182,Effektmåling!$D$178:$D$182,$B94,$AH$120:$AH$124,BE$3))&lt;&gt;0,(SUMIFS(Effektmåling!$J$178:$J$182,Effektmåling!$D$178:$D$182,$B94,$AH$120:$AH$124,BE$3))*-AX94,"")</f>
        <v/>
      </c>
      <c r="BF94" s="29" t="str">
        <f>IF((SUMIFS(Effektmåling!$J$178:$J$182,Effektmåling!$D$178:$D$182,$B94,$AH$120:$AH$124,BF$3))&lt;&gt;0,(SUMIFS(Effektmåling!$J$178:$J$182,Effektmåling!$D$178:$D$182,$B94,$AH$120:$AH$124,BF$3))*-AY94,"")</f>
        <v/>
      </c>
      <c r="BH94" s="29" t="str">
        <f>IF((SUMIFS(Effektmåling!$J$163:$J$167,Effektmåling!$D$163:$D$167,$B94,$AO$120:$AO$124,BH$3))&lt;&gt;0,(SUMIFS(Effektmåling!$J$163:$J$167,Effektmåling!$D$163:$D$167,$B94,$AO$120:$AO$124,BH$3))*-AT94,"")</f>
        <v/>
      </c>
      <c r="BI94" s="29" t="str">
        <f>IF((SUMIFS(Effektmåling!$J$163:$J$167,Effektmåling!$D$163:$D$167,$B94,$AO$120:$AO$124,BI$3))&lt;&gt;0,(SUMIFS(Effektmåling!$J$163:$J$167,Effektmåling!$D$163:$D$167,$B94,$AO$120:$AO$124,BI$3))*-AU94,"")</f>
        <v/>
      </c>
      <c r="BJ94" s="29" t="str">
        <f>IF((SUMIFS(Effektmåling!$J$163:$J$167,Effektmåling!$D$163:$D$167,$B94,$AO$120:$AO$124,BJ$3))&lt;&gt;0,(SUMIFS(Effektmåling!$J$163:$J$167,Effektmåling!$D$163:$D$167,$B94,$AO$120:$AO$124,BJ$3))*-AV94,"")</f>
        <v/>
      </c>
      <c r="BK94" s="29" t="str">
        <f>IF((SUMIFS(Effektmåling!$J$163:$J$167,Effektmåling!$D$163:$D$167,$B94,$AO$120:$AO$124,BK$3))&lt;&gt;0,(SUMIFS(Effektmåling!$J$163:$J$167,Effektmåling!$D$163:$D$167,$B94,$AO$120:$AO$124,BK$3))*-AW94,"")</f>
        <v/>
      </c>
      <c r="BL94" s="29" t="str">
        <f>IF((SUMIFS(Effektmåling!$J$163:$J$167,Effektmåling!$D$163:$D$167,$B94,$AO$120:$AO$124,BL$3))&lt;&gt;0,(SUMIFS(Effektmåling!$J$163:$J$167,Effektmåling!$D$163:$D$167,$B94,$AO$120:$AO$124,BL$3))*-AX94,"")</f>
        <v/>
      </c>
      <c r="BM94" s="29" t="str">
        <f>IF((SUMIFS(Effektmåling!$J$163:$J$167,Effektmåling!$D$163:$D$167,$B94,$AO$120:$AO$124,BM$3))&lt;&gt;0,(SUMIFS(Effektmåling!$J$163:$J$167,Effektmåling!$D$163:$D$167,$B94,$AO$120:$AO$124,BM$3))*-AY94,"")</f>
        <v/>
      </c>
    </row>
    <row r="95" spans="1:65" x14ac:dyDescent="0.15">
      <c r="A95" s="19">
        <f t="shared" si="75"/>
        <v>31</v>
      </c>
      <c r="B95" s="19" t="s">
        <v>277</v>
      </c>
      <c r="C95" s="19">
        <v>1</v>
      </c>
      <c r="D95" s="57">
        <v>0</v>
      </c>
      <c r="E95" s="57">
        <v>0</v>
      </c>
      <c r="F95" s="57">
        <v>0</v>
      </c>
      <c r="G95" s="22">
        <v>-1.7150000000000001</v>
      </c>
      <c r="H95" s="22">
        <f t="shared" si="85"/>
        <v>-1.8862000000000001</v>
      </c>
      <c r="I95" s="57">
        <v>0</v>
      </c>
      <c r="J95" s="57">
        <v>0</v>
      </c>
      <c r="K95" s="57">
        <v>0</v>
      </c>
      <c r="L95" s="74">
        <v>0</v>
      </c>
      <c r="M95" s="74">
        <v>0</v>
      </c>
      <c r="O95" s="40">
        <f t="shared" si="86"/>
        <v>0</v>
      </c>
      <c r="P95" s="480">
        <f>(IF(Effektmåling!$Q$241="Ja",-0.3*'DB materialer'!D35+G95,G95))-E95</f>
        <v>-1.7150000000000001</v>
      </c>
      <c r="Q95" s="480">
        <f>(IF(Effektmåling!$Q$241="Ja",1.3*H95,H95))-E95</f>
        <v>-1.8862000000000001</v>
      </c>
      <c r="R95" s="480">
        <f>(IF(Effektmåling!$Q$241="Ja",-0.3*'DB materialer'!D35+G95,G95))-F95</f>
        <v>-1.7150000000000001</v>
      </c>
      <c r="S95" s="480">
        <f>(IF(Effektmåling!$Q$241="Ja",1.3*H95,H95))-F95</f>
        <v>-1.8862000000000001</v>
      </c>
      <c r="T95" s="480">
        <f>(IF(Effektmåling!$Q$241="Ja",1.3*H95,H95))-(IF(Effektmåling!$Q$241="Ja",-0.3*'DB materialer'!D35+G95,G95))</f>
        <v>-0.17120000000000002</v>
      </c>
      <c r="AE95" s="19">
        <f t="shared" si="76"/>
        <v>29</v>
      </c>
      <c r="AF95" s="29" t="str">
        <f>IF((SUMIFS(Effektmåling!$J$178:$J$182,Effektmåling!$D$178:$D$182,$B95,$AH$120:$AH$124,'DB materialer'!AF$3))&lt;&gt;0,(SUMIFS(Effektmåling!$J$178:$J$182,Effektmåling!$D$178:$D$182,$B95,$AH$120:$AH$124,'DB materialer'!AF$3))*-O95,"")</f>
        <v/>
      </c>
      <c r="AG95" s="29" t="str">
        <f>IF((SUMIFS(Effektmåling!$J$178:$J$182,Effektmåling!$D$178:$D$182,$B95,$AH$120:$AH$124,'DB materialer'!AG$3))&lt;&gt;0,(SUMIFS(Effektmåling!$J$178:$J$182,Effektmåling!$D$178:$D$182,$B95,$AH$120:$AH$124,'DB materialer'!AG$3))*-P95,"")</f>
        <v/>
      </c>
      <c r="AH95" s="29" t="str">
        <f>IF((SUMIFS(Effektmåling!$J$178:$J$182,Effektmåling!$D$178:$D$182,$B95,$AH$120:$AH$124,'DB materialer'!AH$3))&lt;&gt;0,(SUMIFS(Effektmåling!$J$178:$J$182,Effektmåling!$D$178:$D$182,$B95,$AH$120:$AH$124,'DB materialer'!AH$3))*-Q95,"")</f>
        <v/>
      </c>
      <c r="AI95" s="29" t="str">
        <f>IF((SUMIFS(Effektmåling!$J$178:$J$182,Effektmåling!$D$178:$D$182,$B95,$AH$120:$AH$124,'DB materialer'!AI$3))&lt;&gt;0,(SUMIFS(Effektmåling!$J$178:$J$182,Effektmåling!$D$178:$D$182,$B95,$AH$120:$AH$124,'DB materialer'!AI$3))*-R95,"")</f>
        <v/>
      </c>
      <c r="AJ95" s="29" t="str">
        <f>IF((SUMIFS(Effektmåling!$J$178:$J$182,Effektmåling!$D$178:$D$182,$B95,$AH$120:$AH$124,'DB materialer'!AJ$3))&lt;&gt;0,(SUMIFS(Effektmåling!$J$178:$J$182,Effektmåling!$D$178:$D$182,$B95,$AH$120:$AH$124,'DB materialer'!AJ$3))*-S95,"")</f>
        <v/>
      </c>
      <c r="AK95" s="29" t="str">
        <f>IF((SUMIFS(Effektmåling!$J$178:$J$182,Effektmåling!$D$178:$D$182,$B95,$AH$120:$AH$124,'DB materialer'!AK$3))&lt;&gt;0,(SUMIFS(Effektmåling!$J$178:$J$182,Effektmåling!$D$178:$D$182,$B95,$AH$120:$AH$124,'DB materialer'!AK$3))*-T95,"")</f>
        <v/>
      </c>
      <c r="AM95" s="29" t="str">
        <f>IF((SUMIFS(Effektmåling!$J$163:$J$167,Effektmåling!$D$163:$D$167,$B95,$AO$120:$AO$124,'DB materialer'!AM$3))&lt;&gt;0,(SUMIFS(Effektmåling!$J$163:$J$167,Effektmåling!$D$163:$D$167,$B95,$AO$120:$AO$124,'DB materialer'!AM$3))*(-O95)*($C$122),"")</f>
        <v/>
      </c>
      <c r="AN95" s="29" t="str">
        <f>IF((SUMIFS(Effektmåling!$J$163:$J$167,Effektmåling!$D$163:$D$167,$B95,$AO$120:$AO$124,'DB materialer'!AN$3))&lt;&gt;0,(SUMIFS(Effektmåling!$J$163:$J$167,Effektmåling!$D$163:$D$167,$B95,$AO$120:$AO$124,'DB materialer'!AN$3))*(-P95)*($C$122),"")</f>
        <v/>
      </c>
      <c r="AO95" s="29" t="str">
        <f>IF((SUMIFS(Effektmåling!$J$163:$J$167,Effektmåling!$D$163:$D$167,$B95,$AO$120:$AO$124,'DB materialer'!AO$3))&lt;&gt;0,(SUMIFS(Effektmåling!$J$163:$J$167,Effektmåling!$D$163:$D$167,$B95,$AO$120:$AO$124,'DB materialer'!AO$3))*(-Q95)*($C$122),"")</f>
        <v/>
      </c>
      <c r="AP95" s="29" t="str">
        <f>IF((SUMIFS(Effektmåling!$J$163:$J$167,Effektmåling!$D$163:$D$167,$B95,$AO$120:$AO$124,'DB materialer'!AP$3))&lt;&gt;0,(SUMIFS(Effektmåling!$J$163:$J$167,Effektmåling!$D$163:$D$167,$B95,$AO$120:$AO$124,'DB materialer'!AP$3))*(-R95)*($C$122),"")</f>
        <v/>
      </c>
      <c r="AQ95" s="29" t="str">
        <f>IF((SUMIFS(Effektmåling!$J$163:$J$167,Effektmåling!$D$163:$D$167,$B95,$AO$120:$AO$124,'DB materialer'!AQ$3))&lt;&gt;0,(SUMIFS(Effektmåling!$J$163:$J$167,Effektmåling!$D$163:$D$167,$B95,$AO$120:$AO$124,'DB materialer'!AQ$3))*(-S95)*($C$122),"")</f>
        <v/>
      </c>
      <c r="AR95" s="29" t="str">
        <f>IF((SUMIFS(Effektmåling!$J$163:$J$167,Effektmåling!$D$163:$D$167,$B95,$AO$120:$AO$124,'DB materialer'!AR$3))&lt;&gt;0,(SUMIFS(Effektmåling!$J$163:$J$167,Effektmåling!$D$163:$D$167,$B95,$AO$120:$AO$124,'DB materialer'!AR$3))*(-T95)*($C$122),"")</f>
        <v/>
      </c>
      <c r="AT95" s="30">
        <f t="shared" si="87"/>
        <v>1.0000000000000001E-30</v>
      </c>
      <c r="AU95" s="40">
        <f t="shared" si="88"/>
        <v>1.0000000000000001E-30</v>
      </c>
      <c r="AV95" s="41">
        <f t="shared" si="89"/>
        <v>1.0000000000000001E-30</v>
      </c>
      <c r="AW95" s="40">
        <f t="shared" si="90"/>
        <v>1.0000000000000001E-30</v>
      </c>
      <c r="AX95" s="41">
        <f t="shared" si="91"/>
        <v>1.0000000000000001E-30</v>
      </c>
      <c r="AY95" s="41">
        <f t="shared" si="92"/>
        <v>1.0000000000000001E-30</v>
      </c>
      <c r="BA95" s="29" t="str">
        <f>IF((SUMIFS(Effektmåling!$J$178:$J$182,Effektmåling!$D$178:$D$182,$B95,$AH$120:$AH$124,BA$3))&lt;&gt;0,(SUMIFS(Effektmåling!$J$178:$J$182,Effektmåling!$D$178:$D$182,$B95,$AH$120:$AH$124,BA$3))*-AT95,"")</f>
        <v/>
      </c>
      <c r="BB95" s="29" t="str">
        <f>IF((SUMIFS(Effektmåling!$J$178:$J$182,Effektmåling!$D$178:$D$182,$B95,$AH$120:$AH$124,BB$3))&lt;&gt;0,(SUMIFS(Effektmåling!$J$178:$J$182,Effektmåling!$D$178:$D$182,$B95,$AH$120:$AH$124,BB$3))*-AU95,"")</f>
        <v/>
      </c>
      <c r="BC95" s="29" t="str">
        <f>IF((SUMIFS(Effektmåling!$J$178:$J$182,Effektmåling!$D$178:$D$182,$B95,$AH$120:$AH$124,BC$3))&lt;&gt;0,(SUMIFS(Effektmåling!$J$178:$J$182,Effektmåling!$D$178:$D$182,$B95,$AH$120:$AH$124,BC$3))*-AV95,"")</f>
        <v/>
      </c>
      <c r="BD95" s="29" t="str">
        <f>IF((SUMIFS(Effektmåling!$J$178:$J$182,Effektmåling!$D$178:$D$182,$B95,$AH$120:$AH$124,BD$3))&lt;&gt;0,(SUMIFS(Effektmåling!$J$178:$J$182,Effektmåling!$D$178:$D$182,$B95,$AH$120:$AH$124,BD$3))*-AW95,"")</f>
        <v/>
      </c>
      <c r="BE95" s="29" t="str">
        <f>IF((SUMIFS(Effektmåling!$J$178:$J$182,Effektmåling!$D$178:$D$182,$B95,$AH$120:$AH$124,BE$3))&lt;&gt;0,(SUMIFS(Effektmåling!$J$178:$J$182,Effektmåling!$D$178:$D$182,$B95,$AH$120:$AH$124,BE$3))*-AX95,"")</f>
        <v/>
      </c>
      <c r="BF95" s="29" t="str">
        <f>IF((SUMIFS(Effektmåling!$J$178:$J$182,Effektmåling!$D$178:$D$182,$B95,$AH$120:$AH$124,BF$3))&lt;&gt;0,(SUMIFS(Effektmåling!$J$178:$J$182,Effektmåling!$D$178:$D$182,$B95,$AH$120:$AH$124,BF$3))*-AY95,"")</f>
        <v/>
      </c>
      <c r="BH95" s="29" t="str">
        <f>IF((SUMIFS(Effektmåling!$J$163:$J$167,Effektmåling!$D$163:$D$167,$B95,$AO$120:$AO$124,BH$3))&lt;&gt;0,(SUMIFS(Effektmåling!$J$163:$J$167,Effektmåling!$D$163:$D$167,$B95,$AO$120:$AO$124,BH$3))*-AT95,"")</f>
        <v/>
      </c>
      <c r="BI95" s="29" t="str">
        <f>IF((SUMIFS(Effektmåling!$J$163:$J$167,Effektmåling!$D$163:$D$167,$B95,$AO$120:$AO$124,BI$3))&lt;&gt;0,(SUMIFS(Effektmåling!$J$163:$J$167,Effektmåling!$D$163:$D$167,$B95,$AO$120:$AO$124,BI$3))*-AU95,"")</f>
        <v/>
      </c>
      <c r="BJ95" s="29" t="str">
        <f>IF((SUMIFS(Effektmåling!$J$163:$J$167,Effektmåling!$D$163:$D$167,$B95,$AO$120:$AO$124,BJ$3))&lt;&gt;0,(SUMIFS(Effektmåling!$J$163:$J$167,Effektmåling!$D$163:$D$167,$B95,$AO$120:$AO$124,BJ$3))*-AV95,"")</f>
        <v/>
      </c>
      <c r="BK95" s="29" t="str">
        <f>IF((SUMIFS(Effektmåling!$J$163:$J$167,Effektmåling!$D$163:$D$167,$B95,$AO$120:$AO$124,BK$3))&lt;&gt;0,(SUMIFS(Effektmåling!$J$163:$J$167,Effektmåling!$D$163:$D$167,$B95,$AO$120:$AO$124,BK$3))*-AW95,"")</f>
        <v/>
      </c>
      <c r="BL95" s="29" t="str">
        <f>IF((SUMIFS(Effektmåling!$J$163:$J$167,Effektmåling!$D$163:$D$167,$B95,$AO$120:$AO$124,BL$3))&lt;&gt;0,(SUMIFS(Effektmåling!$J$163:$J$167,Effektmåling!$D$163:$D$167,$B95,$AO$120:$AO$124,BL$3))*-AX95,"")</f>
        <v/>
      </c>
      <c r="BM95" s="29" t="str">
        <f>IF((SUMIFS(Effektmåling!$J$163:$J$167,Effektmåling!$D$163:$D$167,$B95,$AO$120:$AO$124,BM$3))&lt;&gt;0,(SUMIFS(Effektmåling!$J$163:$J$167,Effektmåling!$D$163:$D$167,$B95,$AO$120:$AO$124,BM$3))*-AY95,"")</f>
        <v/>
      </c>
    </row>
    <row r="96" spans="1:65" ht="11.1" customHeight="1" x14ac:dyDescent="0.15">
      <c r="A96" s="19">
        <f t="shared" si="75"/>
        <v>32</v>
      </c>
      <c r="B96" s="19" t="s">
        <v>278</v>
      </c>
      <c r="C96" s="19">
        <v>1</v>
      </c>
      <c r="D96" s="57">
        <v>0</v>
      </c>
      <c r="E96" s="57">
        <v>0</v>
      </c>
      <c r="F96" s="57">
        <v>0</v>
      </c>
      <c r="G96" s="22">
        <v>-1.7150000000000001</v>
      </c>
      <c r="H96" s="22">
        <f t="shared" si="85"/>
        <v>-1.8862000000000001</v>
      </c>
      <c r="I96" s="57">
        <v>0</v>
      </c>
      <c r="J96" s="57">
        <v>0</v>
      </c>
      <c r="K96" s="57">
        <v>0</v>
      </c>
      <c r="L96" s="74">
        <v>0</v>
      </c>
      <c r="M96" s="74">
        <v>0</v>
      </c>
      <c r="O96" s="40">
        <f t="shared" si="86"/>
        <v>0</v>
      </c>
      <c r="P96" s="480">
        <f>(IF(Effektmåling!$Q$241="Ja",-0.3*'DB materialer'!D36+G96,G96))-E96</f>
        <v>-1.7150000000000001</v>
      </c>
      <c r="Q96" s="480">
        <f>(IF(Effektmåling!$Q$241="Ja",1.3*H96,H96))-E96</f>
        <v>-1.8862000000000001</v>
      </c>
      <c r="R96" s="480">
        <f>(IF(Effektmåling!$Q$241="Ja",-0.3*'DB materialer'!D36+G96,G96))-F96</f>
        <v>-1.7150000000000001</v>
      </c>
      <c r="S96" s="480">
        <f>(IF(Effektmåling!$Q$241="Ja",1.3*H96,H96))-F96</f>
        <v>-1.8862000000000001</v>
      </c>
      <c r="T96" s="480">
        <f>(IF(Effektmåling!$Q$241="Ja",1.3*H96,H96))-(IF(Effektmåling!$Q$241="Ja",-0.3*'DB materialer'!D36+G96,G96))</f>
        <v>-0.17120000000000002</v>
      </c>
      <c r="AE96" s="19">
        <f t="shared" si="76"/>
        <v>30</v>
      </c>
      <c r="AF96" s="29" t="str">
        <f>IF((SUMIFS(Effektmåling!$J$178:$J$182,Effektmåling!$D$178:$D$182,$B96,$AH$120:$AH$124,'DB materialer'!AF$3))&lt;&gt;0,(SUMIFS(Effektmåling!$J$178:$J$182,Effektmåling!$D$178:$D$182,$B96,$AH$120:$AH$124,'DB materialer'!AF$3))*-O96,"")</f>
        <v/>
      </c>
      <c r="AG96" s="29" t="str">
        <f>IF((SUMIFS(Effektmåling!$J$178:$J$182,Effektmåling!$D$178:$D$182,$B96,$AH$120:$AH$124,'DB materialer'!AG$3))&lt;&gt;0,(SUMIFS(Effektmåling!$J$178:$J$182,Effektmåling!$D$178:$D$182,$B96,$AH$120:$AH$124,'DB materialer'!AG$3))*-P96,"")</f>
        <v/>
      </c>
      <c r="AH96" s="29" t="str">
        <f>IF((SUMIFS(Effektmåling!$J$178:$J$182,Effektmåling!$D$178:$D$182,$B96,$AH$120:$AH$124,'DB materialer'!AH$3))&lt;&gt;0,(SUMIFS(Effektmåling!$J$178:$J$182,Effektmåling!$D$178:$D$182,$B96,$AH$120:$AH$124,'DB materialer'!AH$3))*-Q96,"")</f>
        <v/>
      </c>
      <c r="AI96" s="29" t="str">
        <f>IF((SUMIFS(Effektmåling!$J$178:$J$182,Effektmåling!$D$178:$D$182,$B96,$AH$120:$AH$124,'DB materialer'!AI$3))&lt;&gt;0,(SUMIFS(Effektmåling!$J$178:$J$182,Effektmåling!$D$178:$D$182,$B96,$AH$120:$AH$124,'DB materialer'!AI$3))*-R96,"")</f>
        <v/>
      </c>
      <c r="AJ96" s="29" t="str">
        <f>IF((SUMIFS(Effektmåling!$J$178:$J$182,Effektmåling!$D$178:$D$182,$B96,$AH$120:$AH$124,'DB materialer'!AJ$3))&lt;&gt;0,(SUMIFS(Effektmåling!$J$178:$J$182,Effektmåling!$D$178:$D$182,$B96,$AH$120:$AH$124,'DB materialer'!AJ$3))*-S96,"")</f>
        <v/>
      </c>
      <c r="AK96" s="29" t="str">
        <f>IF((SUMIFS(Effektmåling!$J$178:$J$182,Effektmåling!$D$178:$D$182,$B96,$AH$120:$AH$124,'DB materialer'!AK$3))&lt;&gt;0,(SUMIFS(Effektmåling!$J$178:$J$182,Effektmåling!$D$178:$D$182,$B96,$AH$120:$AH$124,'DB materialer'!AK$3))*-T96,"")</f>
        <v/>
      </c>
      <c r="AM96" s="29" t="str">
        <f>IF((SUMIFS(Effektmåling!$J$163:$J$167,Effektmåling!$D$163:$D$167,$B96,$AO$120:$AO$124,'DB materialer'!AM$3))&lt;&gt;0,(SUMIFS(Effektmåling!$J$163:$J$167,Effektmåling!$D$163:$D$167,$B96,$AO$120:$AO$124,'DB materialer'!AM$3))*(-O96)*($C$122),"")</f>
        <v/>
      </c>
      <c r="AN96" s="29" t="str">
        <f>IF((SUMIFS(Effektmåling!$J$163:$J$167,Effektmåling!$D$163:$D$167,$B96,$AO$120:$AO$124,'DB materialer'!AN$3))&lt;&gt;0,(SUMIFS(Effektmåling!$J$163:$J$167,Effektmåling!$D$163:$D$167,$B96,$AO$120:$AO$124,'DB materialer'!AN$3))*(-P96)*($C$122),"")</f>
        <v/>
      </c>
      <c r="AO96" s="29" t="str">
        <f>IF((SUMIFS(Effektmåling!$J$163:$J$167,Effektmåling!$D$163:$D$167,$B96,$AO$120:$AO$124,'DB materialer'!AO$3))&lt;&gt;0,(SUMIFS(Effektmåling!$J$163:$J$167,Effektmåling!$D$163:$D$167,$B96,$AO$120:$AO$124,'DB materialer'!AO$3))*(-Q96)*($C$122),"")</f>
        <v/>
      </c>
      <c r="AP96" s="29" t="str">
        <f>IF((SUMIFS(Effektmåling!$J$163:$J$167,Effektmåling!$D$163:$D$167,$B96,$AO$120:$AO$124,'DB materialer'!AP$3))&lt;&gt;0,(SUMIFS(Effektmåling!$J$163:$J$167,Effektmåling!$D$163:$D$167,$B96,$AO$120:$AO$124,'DB materialer'!AP$3))*(-R96)*($C$122),"")</f>
        <v/>
      </c>
      <c r="AQ96" s="29" t="str">
        <f>IF((SUMIFS(Effektmåling!$J$163:$J$167,Effektmåling!$D$163:$D$167,$B96,$AO$120:$AO$124,'DB materialer'!AQ$3))&lt;&gt;0,(SUMIFS(Effektmåling!$J$163:$J$167,Effektmåling!$D$163:$D$167,$B96,$AO$120:$AO$124,'DB materialer'!AQ$3))*(-S96)*($C$122),"")</f>
        <v/>
      </c>
      <c r="AR96" s="29" t="str">
        <f>IF((SUMIFS(Effektmåling!$J$163:$J$167,Effektmåling!$D$163:$D$167,$B96,$AO$120:$AO$124,'DB materialer'!AR$3))&lt;&gt;0,(SUMIFS(Effektmåling!$J$163:$J$167,Effektmåling!$D$163:$D$167,$B96,$AO$120:$AO$124,'DB materialer'!AR$3))*(-T96)*($C$122),"")</f>
        <v/>
      </c>
      <c r="AT96" s="30">
        <f t="shared" si="87"/>
        <v>1.0000000000000001E-30</v>
      </c>
      <c r="AU96" s="40">
        <f t="shared" si="88"/>
        <v>1.0000000000000001E-30</v>
      </c>
      <c r="AV96" s="41">
        <f t="shared" si="89"/>
        <v>1.0000000000000001E-30</v>
      </c>
      <c r="AW96" s="40">
        <f t="shared" si="90"/>
        <v>1.0000000000000001E-30</v>
      </c>
      <c r="AX96" s="41">
        <f t="shared" si="91"/>
        <v>1.0000000000000001E-30</v>
      </c>
      <c r="AY96" s="41">
        <f t="shared" si="92"/>
        <v>1.0000000000000001E-30</v>
      </c>
      <c r="BA96" s="29" t="str">
        <f>IF((SUMIFS(Effektmåling!$J$178:$J$182,Effektmåling!$D$178:$D$182,$B96,$AH$120:$AH$124,BA$3))&lt;&gt;0,(SUMIFS(Effektmåling!$J$178:$J$182,Effektmåling!$D$178:$D$182,$B96,$AH$120:$AH$124,BA$3))*-AT96,"")</f>
        <v/>
      </c>
      <c r="BB96" s="29" t="str">
        <f>IF((SUMIFS(Effektmåling!$J$178:$J$182,Effektmåling!$D$178:$D$182,$B96,$AH$120:$AH$124,BB$3))&lt;&gt;0,(SUMIFS(Effektmåling!$J$178:$J$182,Effektmåling!$D$178:$D$182,$B96,$AH$120:$AH$124,BB$3))*-AU96,"")</f>
        <v/>
      </c>
      <c r="BC96" s="29" t="str">
        <f>IF((SUMIFS(Effektmåling!$J$178:$J$182,Effektmåling!$D$178:$D$182,$B96,$AH$120:$AH$124,BC$3))&lt;&gt;0,(SUMIFS(Effektmåling!$J$178:$J$182,Effektmåling!$D$178:$D$182,$B96,$AH$120:$AH$124,BC$3))*-AV96,"")</f>
        <v/>
      </c>
      <c r="BD96" s="29" t="str">
        <f>IF((SUMIFS(Effektmåling!$J$178:$J$182,Effektmåling!$D$178:$D$182,$B96,$AH$120:$AH$124,BD$3))&lt;&gt;0,(SUMIFS(Effektmåling!$J$178:$J$182,Effektmåling!$D$178:$D$182,$B96,$AH$120:$AH$124,BD$3))*-AW96,"")</f>
        <v/>
      </c>
      <c r="BE96" s="29" t="str">
        <f>IF((SUMIFS(Effektmåling!$J$178:$J$182,Effektmåling!$D$178:$D$182,$B96,$AH$120:$AH$124,BE$3))&lt;&gt;0,(SUMIFS(Effektmåling!$J$178:$J$182,Effektmåling!$D$178:$D$182,$B96,$AH$120:$AH$124,BE$3))*-AX96,"")</f>
        <v/>
      </c>
      <c r="BF96" s="29" t="str">
        <f>IF((SUMIFS(Effektmåling!$J$178:$J$182,Effektmåling!$D$178:$D$182,$B96,$AH$120:$AH$124,BF$3))&lt;&gt;0,(SUMIFS(Effektmåling!$J$178:$J$182,Effektmåling!$D$178:$D$182,$B96,$AH$120:$AH$124,BF$3))*-AY96,"")</f>
        <v/>
      </c>
      <c r="BH96" s="29" t="str">
        <f>IF((SUMIFS(Effektmåling!$J$163:$J$167,Effektmåling!$D$163:$D$167,$B96,$AO$120:$AO$124,BH$3))&lt;&gt;0,(SUMIFS(Effektmåling!$J$163:$J$167,Effektmåling!$D$163:$D$167,$B96,$AO$120:$AO$124,BH$3))*-AT96,"")</f>
        <v/>
      </c>
      <c r="BI96" s="29" t="str">
        <f>IF((SUMIFS(Effektmåling!$J$163:$J$167,Effektmåling!$D$163:$D$167,$B96,$AO$120:$AO$124,BI$3))&lt;&gt;0,(SUMIFS(Effektmåling!$J$163:$J$167,Effektmåling!$D$163:$D$167,$B96,$AO$120:$AO$124,BI$3))*-AU96,"")</f>
        <v/>
      </c>
      <c r="BJ96" s="29" t="str">
        <f>IF((SUMIFS(Effektmåling!$J$163:$J$167,Effektmåling!$D$163:$D$167,$B96,$AO$120:$AO$124,BJ$3))&lt;&gt;0,(SUMIFS(Effektmåling!$J$163:$J$167,Effektmåling!$D$163:$D$167,$B96,$AO$120:$AO$124,BJ$3))*-AV96,"")</f>
        <v/>
      </c>
      <c r="BK96" s="29" t="str">
        <f>IF((SUMIFS(Effektmåling!$J$163:$J$167,Effektmåling!$D$163:$D$167,$B96,$AO$120:$AO$124,BK$3))&lt;&gt;0,(SUMIFS(Effektmåling!$J$163:$J$167,Effektmåling!$D$163:$D$167,$B96,$AO$120:$AO$124,BK$3))*-AW96,"")</f>
        <v/>
      </c>
      <c r="BL96" s="29" t="str">
        <f>IF((SUMIFS(Effektmåling!$J$163:$J$167,Effektmåling!$D$163:$D$167,$B96,$AO$120:$AO$124,BL$3))&lt;&gt;0,(SUMIFS(Effektmåling!$J$163:$J$167,Effektmåling!$D$163:$D$167,$B96,$AO$120:$AO$124,BL$3))*-AX96,"")</f>
        <v/>
      </c>
      <c r="BM96" s="29" t="str">
        <f>IF((SUMIFS(Effektmåling!$J$163:$J$167,Effektmåling!$D$163:$D$167,$B96,$AO$120:$AO$124,BM$3))&lt;&gt;0,(SUMIFS(Effektmåling!$J$163:$J$167,Effektmåling!$D$163:$D$167,$B96,$AO$120:$AO$124,BM$3))*-AY96,"")</f>
        <v/>
      </c>
    </row>
    <row r="97" spans="1:65" x14ac:dyDescent="0.15">
      <c r="A97" s="19">
        <f t="shared" si="75"/>
        <v>33</v>
      </c>
      <c r="B97" s="19" t="s">
        <v>279</v>
      </c>
      <c r="C97" s="19">
        <v>1</v>
      </c>
      <c r="D97" s="57">
        <v>0</v>
      </c>
      <c r="E97" s="57">
        <v>0</v>
      </c>
      <c r="F97" s="109">
        <v>-0.35799999999999998</v>
      </c>
      <c r="G97" s="110">
        <v>-0.35799999999999998</v>
      </c>
      <c r="H97" s="22">
        <f t="shared" si="85"/>
        <v>-0.24429999999999999</v>
      </c>
      <c r="I97" s="57">
        <v>0</v>
      </c>
      <c r="J97" s="57">
        <v>0</v>
      </c>
      <c r="K97" s="21">
        <v>-3.3</v>
      </c>
      <c r="L97" s="74">
        <v>0</v>
      </c>
      <c r="M97" s="74">
        <v>0</v>
      </c>
      <c r="O97" s="40">
        <f t="shared" si="86"/>
        <v>-0.35799999999999998</v>
      </c>
      <c r="P97" s="480">
        <f>(IF(Effektmåling!$Q$241="Ja",-0.3*'DB materialer'!D37+G97,G97))-E97</f>
        <v>-0.35799999999999998</v>
      </c>
      <c r="Q97" s="480">
        <f>(IF(Effektmåling!$Q$241="Ja",1.3*H97,H97))-E97</f>
        <v>-0.24429999999999999</v>
      </c>
      <c r="R97" s="480">
        <f>(IF(Effektmåling!$Q$241="Ja",-0.3*'DB materialer'!D37+G97,G97))-F97</f>
        <v>0</v>
      </c>
      <c r="S97" s="480">
        <f>(IF(Effektmåling!$Q$241="Ja",1.3*H97,H97))-F97</f>
        <v>0.1137</v>
      </c>
      <c r="T97" s="480">
        <f>(IF(Effektmåling!$Q$241="Ja",1.3*H97,H97))-(IF(Effektmåling!$Q$241="Ja",-0.3*'DB materialer'!D37+G97,G97))</f>
        <v>0.1137</v>
      </c>
      <c r="AE97" s="19">
        <f t="shared" si="76"/>
        <v>31</v>
      </c>
      <c r="AF97" s="29" t="str">
        <f>IF((SUMIFS(Effektmåling!$J$178:$J$182,Effektmåling!$D$178:$D$182,$B97,$AH$120:$AH$124,'DB materialer'!AF$3))&lt;&gt;0,(SUMIFS(Effektmåling!$J$178:$J$182,Effektmåling!$D$178:$D$182,$B97,$AH$120:$AH$124,'DB materialer'!AF$3))*-O97,"")</f>
        <v/>
      </c>
      <c r="AG97" s="29" t="str">
        <f>IF((SUMIFS(Effektmåling!$J$178:$J$182,Effektmåling!$D$178:$D$182,$B97,$AH$120:$AH$124,'DB materialer'!AG$3))&lt;&gt;0,(SUMIFS(Effektmåling!$J$178:$J$182,Effektmåling!$D$178:$D$182,$B97,$AH$120:$AH$124,'DB materialer'!AG$3))*-P97,"")</f>
        <v/>
      </c>
      <c r="AH97" s="29" t="str">
        <f>IF((SUMIFS(Effektmåling!$J$178:$J$182,Effektmåling!$D$178:$D$182,$B97,$AH$120:$AH$124,'DB materialer'!AH$3))&lt;&gt;0,(SUMIFS(Effektmåling!$J$178:$J$182,Effektmåling!$D$178:$D$182,$B97,$AH$120:$AH$124,'DB materialer'!AH$3))*-Q97,"")</f>
        <v/>
      </c>
      <c r="AI97" s="29" t="str">
        <f>IF((SUMIFS(Effektmåling!$J$178:$J$182,Effektmåling!$D$178:$D$182,$B97,$AH$120:$AH$124,'DB materialer'!AI$3))&lt;&gt;0,(SUMIFS(Effektmåling!$J$178:$J$182,Effektmåling!$D$178:$D$182,$B97,$AH$120:$AH$124,'DB materialer'!AI$3))*-R97,"")</f>
        <v/>
      </c>
      <c r="AJ97" s="29" t="str">
        <f>IF((SUMIFS(Effektmåling!$J$178:$J$182,Effektmåling!$D$178:$D$182,$B97,$AH$120:$AH$124,'DB materialer'!AJ$3))&lt;&gt;0,(SUMIFS(Effektmåling!$J$178:$J$182,Effektmåling!$D$178:$D$182,$B97,$AH$120:$AH$124,'DB materialer'!AJ$3))*-S97,"")</f>
        <v/>
      </c>
      <c r="AK97" s="29" t="str">
        <f>IF((SUMIFS(Effektmåling!$J$178:$J$182,Effektmåling!$D$178:$D$182,$B97,$AH$120:$AH$124,'DB materialer'!AK$3))&lt;&gt;0,(SUMIFS(Effektmåling!$J$178:$J$182,Effektmåling!$D$178:$D$182,$B97,$AH$120:$AH$124,'DB materialer'!AK$3))*-T97,"")</f>
        <v/>
      </c>
      <c r="AM97" s="29" t="str">
        <f>IF((SUMIFS(Effektmåling!$J$163:$J$167,Effektmåling!$D$163:$D$167,$B97,$AO$120:$AO$124,'DB materialer'!AM$3))&lt;&gt;0,(SUMIFS(Effektmåling!$J$163:$J$167,Effektmåling!$D$163:$D$167,$B97,$AO$120:$AO$124,'DB materialer'!AM$3))*(-O97)*($C$122),"")</f>
        <v/>
      </c>
      <c r="AN97" s="29" t="str">
        <f>IF((SUMIFS(Effektmåling!$J$163:$J$167,Effektmåling!$D$163:$D$167,$B97,$AO$120:$AO$124,'DB materialer'!AN$3))&lt;&gt;0,(SUMIFS(Effektmåling!$J$163:$J$167,Effektmåling!$D$163:$D$167,$B97,$AO$120:$AO$124,'DB materialer'!AN$3))*(-P97)*($C$122),"")</f>
        <v/>
      </c>
      <c r="AO97" s="29" t="str">
        <f>IF((SUMIFS(Effektmåling!$J$163:$J$167,Effektmåling!$D$163:$D$167,$B97,$AO$120:$AO$124,'DB materialer'!AO$3))&lt;&gt;0,(SUMIFS(Effektmåling!$J$163:$J$167,Effektmåling!$D$163:$D$167,$B97,$AO$120:$AO$124,'DB materialer'!AO$3))*(-Q97)*($C$122),"")</f>
        <v/>
      </c>
      <c r="AP97" s="29" t="str">
        <f>IF((SUMIFS(Effektmåling!$J$163:$J$167,Effektmåling!$D$163:$D$167,$B97,$AO$120:$AO$124,'DB materialer'!AP$3))&lt;&gt;0,(SUMIFS(Effektmåling!$J$163:$J$167,Effektmåling!$D$163:$D$167,$B97,$AO$120:$AO$124,'DB materialer'!AP$3))*(-R97)*($C$122),"")</f>
        <v/>
      </c>
      <c r="AQ97" s="29" t="str">
        <f>IF((SUMIFS(Effektmåling!$J$163:$J$167,Effektmåling!$D$163:$D$167,$B97,$AO$120:$AO$124,'DB materialer'!AQ$3))&lt;&gt;0,(SUMIFS(Effektmåling!$J$163:$J$167,Effektmåling!$D$163:$D$167,$B97,$AO$120:$AO$124,'DB materialer'!AQ$3))*(-S97)*($C$122),"")</f>
        <v/>
      </c>
      <c r="AR97" s="29" t="str">
        <f>IF((SUMIFS(Effektmåling!$J$163:$J$167,Effektmåling!$D$163:$D$167,$B97,$AO$120:$AO$124,'DB materialer'!AR$3))&lt;&gt;0,(SUMIFS(Effektmåling!$J$163:$J$167,Effektmåling!$D$163:$D$167,$B97,$AO$120:$AO$124,'DB materialer'!AR$3))*(-T97)*($C$122),"")</f>
        <v/>
      </c>
      <c r="AT97" s="30">
        <f t="shared" si="87"/>
        <v>-3.3</v>
      </c>
      <c r="AU97" s="40">
        <f t="shared" si="88"/>
        <v>1.0000000000000001E-30</v>
      </c>
      <c r="AV97" s="41">
        <f t="shared" si="89"/>
        <v>1.0000000000000001E-30</v>
      </c>
      <c r="AW97" s="40">
        <f t="shared" si="90"/>
        <v>3.3</v>
      </c>
      <c r="AX97" s="41">
        <f t="shared" si="91"/>
        <v>3.3</v>
      </c>
      <c r="AY97" s="41">
        <f t="shared" si="92"/>
        <v>1.0000000000000001E-30</v>
      </c>
      <c r="BA97" s="29" t="str">
        <f>IF((SUMIFS(Effektmåling!$J$178:$J$182,Effektmåling!$D$178:$D$182,$B97,$AH$120:$AH$124,BA$3))&lt;&gt;0,(SUMIFS(Effektmåling!$J$178:$J$182,Effektmåling!$D$178:$D$182,$B97,$AH$120:$AH$124,BA$3))*-AT97,"")</f>
        <v/>
      </c>
      <c r="BB97" s="29" t="str">
        <f>IF((SUMIFS(Effektmåling!$J$178:$J$182,Effektmåling!$D$178:$D$182,$B97,$AH$120:$AH$124,BB$3))&lt;&gt;0,(SUMIFS(Effektmåling!$J$178:$J$182,Effektmåling!$D$178:$D$182,$B97,$AH$120:$AH$124,BB$3))*-AU97,"")</f>
        <v/>
      </c>
      <c r="BC97" s="29" t="str">
        <f>IF((SUMIFS(Effektmåling!$J$178:$J$182,Effektmåling!$D$178:$D$182,$B97,$AH$120:$AH$124,BC$3))&lt;&gt;0,(SUMIFS(Effektmåling!$J$178:$J$182,Effektmåling!$D$178:$D$182,$B97,$AH$120:$AH$124,BC$3))*-AV97,"")</f>
        <v/>
      </c>
      <c r="BD97" s="29" t="str">
        <f>IF((SUMIFS(Effektmåling!$J$178:$J$182,Effektmåling!$D$178:$D$182,$B97,$AH$120:$AH$124,BD$3))&lt;&gt;0,(SUMIFS(Effektmåling!$J$178:$J$182,Effektmåling!$D$178:$D$182,$B97,$AH$120:$AH$124,BD$3))*-AW97,"")</f>
        <v/>
      </c>
      <c r="BE97" s="29" t="str">
        <f>IF((SUMIFS(Effektmåling!$J$178:$J$182,Effektmåling!$D$178:$D$182,$B97,$AH$120:$AH$124,BE$3))&lt;&gt;0,(SUMIFS(Effektmåling!$J$178:$J$182,Effektmåling!$D$178:$D$182,$B97,$AH$120:$AH$124,BE$3))*-AX97,"")</f>
        <v/>
      </c>
      <c r="BF97" s="29" t="str">
        <f>IF((SUMIFS(Effektmåling!$J$178:$J$182,Effektmåling!$D$178:$D$182,$B97,$AH$120:$AH$124,BF$3))&lt;&gt;0,(SUMIFS(Effektmåling!$J$178:$J$182,Effektmåling!$D$178:$D$182,$B97,$AH$120:$AH$124,BF$3))*-AY97,"")</f>
        <v/>
      </c>
      <c r="BH97" s="29" t="str">
        <f>IF((SUMIFS(Effektmåling!$J$163:$J$167,Effektmåling!$D$163:$D$167,$B97,$AO$120:$AO$124,BH$3))&lt;&gt;0,(SUMIFS(Effektmåling!$J$163:$J$167,Effektmåling!$D$163:$D$167,$B97,$AO$120:$AO$124,BH$3))*-AT97,"")</f>
        <v/>
      </c>
      <c r="BI97" s="29" t="str">
        <f>IF((SUMIFS(Effektmåling!$J$163:$J$167,Effektmåling!$D$163:$D$167,$B97,$AO$120:$AO$124,BI$3))&lt;&gt;0,(SUMIFS(Effektmåling!$J$163:$J$167,Effektmåling!$D$163:$D$167,$B97,$AO$120:$AO$124,BI$3))*-AU97,"")</f>
        <v/>
      </c>
      <c r="BJ97" s="29" t="str">
        <f>IF((SUMIFS(Effektmåling!$J$163:$J$167,Effektmåling!$D$163:$D$167,$B97,$AO$120:$AO$124,BJ$3))&lt;&gt;0,(SUMIFS(Effektmåling!$J$163:$J$167,Effektmåling!$D$163:$D$167,$B97,$AO$120:$AO$124,BJ$3))*-AV97,"")</f>
        <v/>
      </c>
      <c r="BK97" s="29" t="str">
        <f>IF((SUMIFS(Effektmåling!$J$163:$J$167,Effektmåling!$D$163:$D$167,$B97,$AO$120:$AO$124,BK$3))&lt;&gt;0,(SUMIFS(Effektmåling!$J$163:$J$167,Effektmåling!$D$163:$D$167,$B97,$AO$120:$AO$124,BK$3))*-AW97,"")</f>
        <v/>
      </c>
      <c r="BL97" s="29" t="str">
        <f>IF((SUMIFS(Effektmåling!$J$163:$J$167,Effektmåling!$D$163:$D$167,$B97,$AO$120:$AO$124,BL$3))&lt;&gt;0,(SUMIFS(Effektmåling!$J$163:$J$167,Effektmåling!$D$163:$D$167,$B97,$AO$120:$AO$124,BL$3))*-AX97,"")</f>
        <v/>
      </c>
      <c r="BM97" s="29" t="str">
        <f>IF((SUMIFS(Effektmåling!$J$163:$J$167,Effektmåling!$D$163:$D$167,$B97,$AO$120:$AO$124,BM$3))&lt;&gt;0,(SUMIFS(Effektmåling!$J$163:$J$167,Effektmåling!$D$163:$D$167,$B97,$AO$120:$AO$124,BM$3))*-AY97,"")</f>
        <v/>
      </c>
    </row>
    <row r="98" spans="1:65" x14ac:dyDescent="0.15">
      <c r="A98" s="19">
        <f t="shared" si="75"/>
        <v>34</v>
      </c>
      <c r="B98" s="19" t="s">
        <v>280</v>
      </c>
      <c r="C98" s="19">
        <v>1</v>
      </c>
      <c r="D98" s="57">
        <v>0</v>
      </c>
      <c r="E98" s="57">
        <v>0</v>
      </c>
      <c r="F98" s="57">
        <v>0</v>
      </c>
      <c r="G98" s="22">
        <v>-2E-3</v>
      </c>
      <c r="H98" s="22">
        <f t="shared" si="85"/>
        <v>-0.47170000000000001</v>
      </c>
      <c r="I98" s="57">
        <v>0</v>
      </c>
      <c r="J98" s="57">
        <v>0</v>
      </c>
      <c r="K98" s="57">
        <v>0</v>
      </c>
      <c r="L98" s="74">
        <v>0</v>
      </c>
      <c r="M98" s="74">
        <v>0</v>
      </c>
      <c r="O98" s="40">
        <f t="shared" si="86"/>
        <v>0</v>
      </c>
      <c r="P98" s="480">
        <f>(IF(Effektmåling!$Q$241="Ja",-0.3*'DB materialer'!D38+G98,G98))-E98</f>
        <v>-2E-3</v>
      </c>
      <c r="Q98" s="480">
        <f>(IF(Effektmåling!$Q$241="Ja",1.3*H98,H98))-E98</f>
        <v>-0.47170000000000001</v>
      </c>
      <c r="R98" s="480">
        <f>(IF(Effektmåling!$Q$241="Ja",-0.3*'DB materialer'!D38+G98,G98))-F98</f>
        <v>-2E-3</v>
      </c>
      <c r="S98" s="480">
        <f>(IF(Effektmåling!$Q$241="Ja",1.3*H98,H98))-F98</f>
        <v>-0.47170000000000001</v>
      </c>
      <c r="T98" s="480">
        <f>(IF(Effektmåling!$Q$241="Ja",1.3*H98,H98))-(IF(Effektmåling!$Q$241="Ja",-0.3*'DB materialer'!D38+G98,G98))</f>
        <v>-0.46970000000000001</v>
      </c>
      <c r="AE98" s="19">
        <f t="shared" si="76"/>
        <v>32</v>
      </c>
      <c r="AF98" s="29" t="str">
        <f>IF((SUMIFS(Effektmåling!$J$178:$J$182,Effektmåling!$D$178:$D$182,$B98,$AH$120:$AH$124,'DB materialer'!AF$3))&lt;&gt;0,(SUMIFS(Effektmåling!$J$178:$J$182,Effektmåling!$D$178:$D$182,$B98,$AH$120:$AH$124,'DB materialer'!AF$3))*-O98,"")</f>
        <v/>
      </c>
      <c r="AG98" s="29" t="str">
        <f>IF((SUMIFS(Effektmåling!$J$178:$J$182,Effektmåling!$D$178:$D$182,$B98,$AH$120:$AH$124,'DB materialer'!AG$3))&lt;&gt;0,(SUMIFS(Effektmåling!$J$178:$J$182,Effektmåling!$D$178:$D$182,$B98,$AH$120:$AH$124,'DB materialer'!AG$3))*-P98,"")</f>
        <v/>
      </c>
      <c r="AH98" s="29" t="str">
        <f>IF((SUMIFS(Effektmåling!$J$178:$J$182,Effektmåling!$D$178:$D$182,$B98,$AH$120:$AH$124,'DB materialer'!AH$3))&lt;&gt;0,(SUMIFS(Effektmåling!$J$178:$J$182,Effektmåling!$D$178:$D$182,$B98,$AH$120:$AH$124,'DB materialer'!AH$3))*-Q98,"")</f>
        <v/>
      </c>
      <c r="AI98" s="29" t="str">
        <f>IF((SUMIFS(Effektmåling!$J$178:$J$182,Effektmåling!$D$178:$D$182,$B98,$AH$120:$AH$124,'DB materialer'!AI$3))&lt;&gt;0,(SUMIFS(Effektmåling!$J$178:$J$182,Effektmåling!$D$178:$D$182,$B98,$AH$120:$AH$124,'DB materialer'!AI$3))*-R98,"")</f>
        <v/>
      </c>
      <c r="AJ98" s="29" t="str">
        <f>IF((SUMIFS(Effektmåling!$J$178:$J$182,Effektmåling!$D$178:$D$182,$B98,$AH$120:$AH$124,'DB materialer'!AJ$3))&lt;&gt;0,(SUMIFS(Effektmåling!$J$178:$J$182,Effektmåling!$D$178:$D$182,$B98,$AH$120:$AH$124,'DB materialer'!AJ$3))*-S98,"")</f>
        <v/>
      </c>
      <c r="AK98" s="29" t="str">
        <f>IF((SUMIFS(Effektmåling!$J$178:$J$182,Effektmåling!$D$178:$D$182,$B98,$AH$120:$AH$124,'DB materialer'!AK$3))&lt;&gt;0,(SUMIFS(Effektmåling!$J$178:$J$182,Effektmåling!$D$178:$D$182,$B98,$AH$120:$AH$124,'DB materialer'!AK$3))*-T98,"")</f>
        <v/>
      </c>
      <c r="AM98" s="29" t="str">
        <f>IF((SUMIFS(Effektmåling!$J$163:$J$167,Effektmåling!$D$163:$D$167,$B98,$AO$120:$AO$124,'DB materialer'!AM$3))&lt;&gt;0,(SUMIFS(Effektmåling!$J$163:$J$167,Effektmåling!$D$163:$D$167,$B98,$AO$120:$AO$124,'DB materialer'!AM$3))*(-O98)*($C$122),"")</f>
        <v/>
      </c>
      <c r="AN98" s="29" t="str">
        <f>IF((SUMIFS(Effektmåling!$J$163:$J$167,Effektmåling!$D$163:$D$167,$B98,$AO$120:$AO$124,'DB materialer'!AN$3))&lt;&gt;0,(SUMIFS(Effektmåling!$J$163:$J$167,Effektmåling!$D$163:$D$167,$B98,$AO$120:$AO$124,'DB materialer'!AN$3))*(-P98)*($C$122),"")</f>
        <v/>
      </c>
      <c r="AO98" s="29" t="str">
        <f>IF((SUMIFS(Effektmåling!$J$163:$J$167,Effektmåling!$D$163:$D$167,$B98,$AO$120:$AO$124,'DB materialer'!AO$3))&lt;&gt;0,(SUMIFS(Effektmåling!$J$163:$J$167,Effektmåling!$D$163:$D$167,$B98,$AO$120:$AO$124,'DB materialer'!AO$3))*(-Q98)*($C$122),"")</f>
        <v/>
      </c>
      <c r="AP98" s="29" t="str">
        <f>IF((SUMIFS(Effektmåling!$J$163:$J$167,Effektmåling!$D$163:$D$167,$B98,$AO$120:$AO$124,'DB materialer'!AP$3))&lt;&gt;0,(SUMIFS(Effektmåling!$J$163:$J$167,Effektmåling!$D$163:$D$167,$B98,$AO$120:$AO$124,'DB materialer'!AP$3))*(-R98)*($C$122),"")</f>
        <v/>
      </c>
      <c r="AQ98" s="29" t="str">
        <f>IF((SUMIFS(Effektmåling!$J$163:$J$167,Effektmåling!$D$163:$D$167,$B98,$AO$120:$AO$124,'DB materialer'!AQ$3))&lt;&gt;0,(SUMIFS(Effektmåling!$J$163:$J$167,Effektmåling!$D$163:$D$167,$B98,$AO$120:$AO$124,'DB materialer'!AQ$3))*(-S98)*($C$122),"")</f>
        <v/>
      </c>
      <c r="AR98" s="29" t="str">
        <f>IF((SUMIFS(Effektmåling!$J$163:$J$167,Effektmåling!$D$163:$D$167,$B98,$AO$120:$AO$124,'DB materialer'!AR$3))&lt;&gt;0,(SUMIFS(Effektmåling!$J$163:$J$167,Effektmåling!$D$163:$D$167,$B98,$AO$120:$AO$124,'DB materialer'!AR$3))*(-T98)*($C$122),"")</f>
        <v/>
      </c>
      <c r="AT98" s="30">
        <f t="shared" si="87"/>
        <v>1.0000000000000001E-30</v>
      </c>
      <c r="AU98" s="40">
        <f t="shared" si="88"/>
        <v>1.0000000000000001E-30</v>
      </c>
      <c r="AV98" s="41">
        <f t="shared" si="89"/>
        <v>1.0000000000000001E-30</v>
      </c>
      <c r="AW98" s="40">
        <f t="shared" si="90"/>
        <v>1.0000000000000001E-30</v>
      </c>
      <c r="AX98" s="41">
        <f t="shared" si="91"/>
        <v>1.0000000000000001E-30</v>
      </c>
      <c r="AY98" s="41">
        <f t="shared" si="92"/>
        <v>1.0000000000000001E-30</v>
      </c>
      <c r="BA98" s="29" t="str">
        <f>IF((SUMIFS(Effektmåling!$J$178:$J$182,Effektmåling!$D$178:$D$182,$B98,$AH$120:$AH$124,BA$3))&lt;&gt;0,(SUMIFS(Effektmåling!$J$178:$J$182,Effektmåling!$D$178:$D$182,$B98,$AH$120:$AH$124,BA$3))*-AT98,"")</f>
        <v/>
      </c>
      <c r="BB98" s="29" t="str">
        <f>IF((SUMIFS(Effektmåling!$J$178:$J$182,Effektmåling!$D$178:$D$182,$B98,$AH$120:$AH$124,BB$3))&lt;&gt;0,(SUMIFS(Effektmåling!$J$178:$J$182,Effektmåling!$D$178:$D$182,$B98,$AH$120:$AH$124,BB$3))*-AU98,"")</f>
        <v/>
      </c>
      <c r="BC98" s="29" t="str">
        <f>IF((SUMIFS(Effektmåling!$J$178:$J$182,Effektmåling!$D$178:$D$182,$B98,$AH$120:$AH$124,BC$3))&lt;&gt;0,(SUMIFS(Effektmåling!$J$178:$J$182,Effektmåling!$D$178:$D$182,$B98,$AH$120:$AH$124,BC$3))*-AV98,"")</f>
        <v/>
      </c>
      <c r="BD98" s="29" t="str">
        <f>IF((SUMIFS(Effektmåling!$J$178:$J$182,Effektmåling!$D$178:$D$182,$B98,$AH$120:$AH$124,BD$3))&lt;&gt;0,(SUMIFS(Effektmåling!$J$178:$J$182,Effektmåling!$D$178:$D$182,$B98,$AH$120:$AH$124,BD$3))*-AW98,"")</f>
        <v/>
      </c>
      <c r="BE98" s="29" t="str">
        <f>IF((SUMIFS(Effektmåling!$J$178:$J$182,Effektmåling!$D$178:$D$182,$B98,$AH$120:$AH$124,BE$3))&lt;&gt;0,(SUMIFS(Effektmåling!$J$178:$J$182,Effektmåling!$D$178:$D$182,$B98,$AH$120:$AH$124,BE$3))*-AX98,"")</f>
        <v/>
      </c>
      <c r="BF98" s="29" t="str">
        <f>IF((SUMIFS(Effektmåling!$J$178:$J$182,Effektmåling!$D$178:$D$182,$B98,$AH$120:$AH$124,BF$3))&lt;&gt;0,(SUMIFS(Effektmåling!$J$178:$J$182,Effektmåling!$D$178:$D$182,$B98,$AH$120:$AH$124,BF$3))*-AY98,"")</f>
        <v/>
      </c>
      <c r="BH98" s="29" t="str">
        <f>IF((SUMIFS(Effektmåling!$J$163:$J$167,Effektmåling!$D$163:$D$167,$B98,$AO$120:$AO$124,BH$3))&lt;&gt;0,(SUMIFS(Effektmåling!$J$163:$J$167,Effektmåling!$D$163:$D$167,$B98,$AO$120:$AO$124,BH$3))*-AT98,"")</f>
        <v/>
      </c>
      <c r="BI98" s="29" t="str">
        <f>IF((SUMIFS(Effektmåling!$J$163:$J$167,Effektmåling!$D$163:$D$167,$B98,$AO$120:$AO$124,BI$3))&lt;&gt;0,(SUMIFS(Effektmåling!$J$163:$J$167,Effektmåling!$D$163:$D$167,$B98,$AO$120:$AO$124,BI$3))*-AU98,"")</f>
        <v/>
      </c>
      <c r="BJ98" s="29" t="str">
        <f>IF((SUMIFS(Effektmåling!$J$163:$J$167,Effektmåling!$D$163:$D$167,$B98,$AO$120:$AO$124,BJ$3))&lt;&gt;0,(SUMIFS(Effektmåling!$J$163:$J$167,Effektmåling!$D$163:$D$167,$B98,$AO$120:$AO$124,BJ$3))*-AV98,"")</f>
        <v/>
      </c>
      <c r="BK98" s="29" t="str">
        <f>IF((SUMIFS(Effektmåling!$J$163:$J$167,Effektmåling!$D$163:$D$167,$B98,$AO$120:$AO$124,BK$3))&lt;&gt;0,(SUMIFS(Effektmåling!$J$163:$J$167,Effektmåling!$D$163:$D$167,$B98,$AO$120:$AO$124,BK$3))*-AW98,"")</f>
        <v/>
      </c>
      <c r="BL98" s="29" t="str">
        <f>IF((SUMIFS(Effektmåling!$J$163:$J$167,Effektmåling!$D$163:$D$167,$B98,$AO$120:$AO$124,BL$3))&lt;&gt;0,(SUMIFS(Effektmåling!$J$163:$J$167,Effektmåling!$D$163:$D$167,$B98,$AO$120:$AO$124,BL$3))*-AX98,"")</f>
        <v/>
      </c>
      <c r="BM98" s="29" t="str">
        <f>IF((SUMIFS(Effektmåling!$J$163:$J$167,Effektmåling!$D$163:$D$167,$B98,$AO$120:$AO$124,BM$3))&lt;&gt;0,(SUMIFS(Effektmåling!$J$163:$J$167,Effektmåling!$D$163:$D$167,$B98,$AO$120:$AO$124,BM$3))*-AY98,"")</f>
        <v/>
      </c>
    </row>
    <row r="99" spans="1:65" x14ac:dyDescent="0.15">
      <c r="A99" s="19">
        <f t="shared" si="75"/>
        <v>35</v>
      </c>
      <c r="B99" s="19" t="s">
        <v>281</v>
      </c>
      <c r="C99" s="19">
        <v>1</v>
      </c>
      <c r="D99" s="57">
        <v>0</v>
      </c>
      <c r="E99" s="57">
        <v>0</v>
      </c>
      <c r="F99" s="57">
        <v>0</v>
      </c>
      <c r="G99" s="22">
        <v>-2E-3</v>
      </c>
      <c r="H99" s="22">
        <f t="shared" si="85"/>
        <v>-2.6879</v>
      </c>
      <c r="I99" s="57">
        <v>0</v>
      </c>
      <c r="J99" s="57">
        <v>0</v>
      </c>
      <c r="K99" s="57">
        <v>0</v>
      </c>
      <c r="L99" s="74">
        <v>0</v>
      </c>
      <c r="M99" s="74">
        <v>0</v>
      </c>
      <c r="O99" s="40">
        <f t="shared" si="86"/>
        <v>0</v>
      </c>
      <c r="P99" s="480">
        <f>(IF(Effektmåling!$Q$241="Ja",-0.3*'DB materialer'!D39+G99,G99))-E99</f>
        <v>-2E-3</v>
      </c>
      <c r="Q99" s="480">
        <f>(IF(Effektmåling!$Q$241="Ja",1.3*H99,H99))-E99</f>
        <v>-2.6879</v>
      </c>
      <c r="R99" s="480">
        <f>(IF(Effektmåling!$Q$241="Ja",-0.3*'DB materialer'!D39+G99,G99))-F99</f>
        <v>-2E-3</v>
      </c>
      <c r="S99" s="480">
        <f>(IF(Effektmåling!$Q$241="Ja",1.3*H99,H99))-F99</f>
        <v>-2.6879</v>
      </c>
      <c r="T99" s="480">
        <f>(IF(Effektmåling!$Q$241="Ja",1.3*H99,H99))-(IF(Effektmåling!$Q$241="Ja",-0.3*'DB materialer'!D39+G99,G99))</f>
        <v>-2.6859000000000002</v>
      </c>
      <c r="AE99" s="19">
        <f t="shared" si="76"/>
        <v>33</v>
      </c>
      <c r="AF99" s="29" t="str">
        <f>IF((SUMIFS(Effektmåling!$J$178:$J$182,Effektmåling!$D$178:$D$182,$B99,$AH$120:$AH$124,'DB materialer'!AF$3))&lt;&gt;0,(SUMIFS(Effektmåling!$J$178:$J$182,Effektmåling!$D$178:$D$182,$B99,$AH$120:$AH$124,'DB materialer'!AF$3))*-O99,"")</f>
        <v/>
      </c>
      <c r="AG99" s="29" t="str">
        <f>IF((SUMIFS(Effektmåling!$J$178:$J$182,Effektmåling!$D$178:$D$182,$B99,$AH$120:$AH$124,'DB materialer'!AG$3))&lt;&gt;0,(SUMIFS(Effektmåling!$J$178:$J$182,Effektmåling!$D$178:$D$182,$B99,$AH$120:$AH$124,'DB materialer'!AG$3))*-P99,"")</f>
        <v/>
      </c>
      <c r="AH99" s="29" t="str">
        <f>IF((SUMIFS(Effektmåling!$J$178:$J$182,Effektmåling!$D$178:$D$182,$B99,$AH$120:$AH$124,'DB materialer'!AH$3))&lt;&gt;0,(SUMIFS(Effektmåling!$J$178:$J$182,Effektmåling!$D$178:$D$182,$B99,$AH$120:$AH$124,'DB materialer'!AH$3))*-Q99,"")</f>
        <v/>
      </c>
      <c r="AI99" s="29" t="str">
        <f>IF((SUMIFS(Effektmåling!$J$178:$J$182,Effektmåling!$D$178:$D$182,$B99,$AH$120:$AH$124,'DB materialer'!AI$3))&lt;&gt;0,(SUMIFS(Effektmåling!$J$178:$J$182,Effektmåling!$D$178:$D$182,$B99,$AH$120:$AH$124,'DB materialer'!AI$3))*-R99,"")</f>
        <v/>
      </c>
      <c r="AJ99" s="29" t="str">
        <f>IF((SUMIFS(Effektmåling!$J$178:$J$182,Effektmåling!$D$178:$D$182,$B99,$AH$120:$AH$124,'DB materialer'!AJ$3))&lt;&gt;0,(SUMIFS(Effektmåling!$J$178:$J$182,Effektmåling!$D$178:$D$182,$B99,$AH$120:$AH$124,'DB materialer'!AJ$3))*-S99,"")</f>
        <v/>
      </c>
      <c r="AK99" s="29" t="str">
        <f>IF((SUMIFS(Effektmåling!$J$178:$J$182,Effektmåling!$D$178:$D$182,$B99,$AH$120:$AH$124,'DB materialer'!AK$3))&lt;&gt;0,(SUMIFS(Effektmåling!$J$178:$J$182,Effektmåling!$D$178:$D$182,$B99,$AH$120:$AH$124,'DB materialer'!AK$3))*-T99,"")</f>
        <v/>
      </c>
      <c r="AM99" s="29" t="str">
        <f>IF((SUMIFS(Effektmåling!$J$163:$J$167,Effektmåling!$D$163:$D$167,$B99,$AO$120:$AO$124,'DB materialer'!AM$3))&lt;&gt;0,(SUMIFS(Effektmåling!$J$163:$J$167,Effektmåling!$D$163:$D$167,$B99,$AO$120:$AO$124,'DB materialer'!AM$3))*(-O99)*($C$122),"")</f>
        <v/>
      </c>
      <c r="AN99" s="29" t="str">
        <f>IF((SUMIFS(Effektmåling!$J$163:$J$167,Effektmåling!$D$163:$D$167,$B99,$AO$120:$AO$124,'DB materialer'!AN$3))&lt;&gt;0,(SUMIFS(Effektmåling!$J$163:$J$167,Effektmåling!$D$163:$D$167,$B99,$AO$120:$AO$124,'DB materialer'!AN$3))*(-P99)*($C$122),"")</f>
        <v/>
      </c>
      <c r="AO99" s="29" t="str">
        <f>IF((SUMIFS(Effektmåling!$J$163:$J$167,Effektmåling!$D$163:$D$167,$B99,$AO$120:$AO$124,'DB materialer'!AO$3))&lt;&gt;0,(SUMIFS(Effektmåling!$J$163:$J$167,Effektmåling!$D$163:$D$167,$B99,$AO$120:$AO$124,'DB materialer'!AO$3))*(-Q99)*($C$122),"")</f>
        <v/>
      </c>
      <c r="AP99" s="29" t="str">
        <f>IF((SUMIFS(Effektmåling!$J$163:$J$167,Effektmåling!$D$163:$D$167,$B99,$AO$120:$AO$124,'DB materialer'!AP$3))&lt;&gt;0,(SUMIFS(Effektmåling!$J$163:$J$167,Effektmåling!$D$163:$D$167,$B99,$AO$120:$AO$124,'DB materialer'!AP$3))*(-R99)*($C$122),"")</f>
        <v/>
      </c>
      <c r="AQ99" s="29" t="str">
        <f>IF((SUMIFS(Effektmåling!$J$163:$J$167,Effektmåling!$D$163:$D$167,$B99,$AO$120:$AO$124,'DB materialer'!AQ$3))&lt;&gt;0,(SUMIFS(Effektmåling!$J$163:$J$167,Effektmåling!$D$163:$D$167,$B99,$AO$120:$AO$124,'DB materialer'!AQ$3))*(-S99)*($C$122),"")</f>
        <v/>
      </c>
      <c r="AR99" s="29" t="str">
        <f>IF((SUMIFS(Effektmåling!$J$163:$J$167,Effektmåling!$D$163:$D$167,$B99,$AO$120:$AO$124,'DB materialer'!AR$3))&lt;&gt;0,(SUMIFS(Effektmåling!$J$163:$J$167,Effektmåling!$D$163:$D$167,$B99,$AO$120:$AO$124,'DB materialer'!AR$3))*(-T99)*($C$122),"")</f>
        <v/>
      </c>
      <c r="AT99" s="30">
        <f t="shared" si="87"/>
        <v>1.0000000000000001E-30</v>
      </c>
      <c r="AU99" s="40">
        <f t="shared" si="88"/>
        <v>1.0000000000000001E-30</v>
      </c>
      <c r="AV99" s="41">
        <f t="shared" si="89"/>
        <v>1.0000000000000001E-30</v>
      </c>
      <c r="AW99" s="40">
        <f t="shared" si="90"/>
        <v>1.0000000000000001E-30</v>
      </c>
      <c r="AX99" s="41">
        <f t="shared" si="91"/>
        <v>1.0000000000000001E-30</v>
      </c>
      <c r="AY99" s="41">
        <f t="shared" si="92"/>
        <v>1.0000000000000001E-30</v>
      </c>
      <c r="BA99" s="29" t="str">
        <f>IF((SUMIFS(Effektmåling!$J$178:$J$182,Effektmåling!$D$178:$D$182,$B99,$AH$120:$AH$124,BA$3))&lt;&gt;0,(SUMIFS(Effektmåling!$J$178:$J$182,Effektmåling!$D$178:$D$182,$B99,$AH$120:$AH$124,BA$3))*-AT99,"")</f>
        <v/>
      </c>
      <c r="BB99" s="29" t="str">
        <f>IF((SUMIFS(Effektmåling!$J$178:$J$182,Effektmåling!$D$178:$D$182,$B99,$AH$120:$AH$124,BB$3))&lt;&gt;0,(SUMIFS(Effektmåling!$J$178:$J$182,Effektmåling!$D$178:$D$182,$B99,$AH$120:$AH$124,BB$3))*-AU99,"")</f>
        <v/>
      </c>
      <c r="BC99" s="29" t="str">
        <f>IF((SUMIFS(Effektmåling!$J$178:$J$182,Effektmåling!$D$178:$D$182,$B99,$AH$120:$AH$124,BC$3))&lt;&gt;0,(SUMIFS(Effektmåling!$J$178:$J$182,Effektmåling!$D$178:$D$182,$B99,$AH$120:$AH$124,BC$3))*-AV99,"")</f>
        <v/>
      </c>
      <c r="BD99" s="29" t="str">
        <f>IF((SUMIFS(Effektmåling!$J$178:$J$182,Effektmåling!$D$178:$D$182,$B99,$AH$120:$AH$124,BD$3))&lt;&gt;0,(SUMIFS(Effektmåling!$J$178:$J$182,Effektmåling!$D$178:$D$182,$B99,$AH$120:$AH$124,BD$3))*-AW99,"")</f>
        <v/>
      </c>
      <c r="BE99" s="29" t="str">
        <f>IF((SUMIFS(Effektmåling!$J$178:$J$182,Effektmåling!$D$178:$D$182,$B99,$AH$120:$AH$124,BE$3))&lt;&gt;0,(SUMIFS(Effektmåling!$J$178:$J$182,Effektmåling!$D$178:$D$182,$B99,$AH$120:$AH$124,BE$3))*-AX99,"")</f>
        <v/>
      </c>
      <c r="BF99" s="29" t="str">
        <f>IF((SUMIFS(Effektmåling!$J$178:$J$182,Effektmåling!$D$178:$D$182,$B99,$AH$120:$AH$124,BF$3))&lt;&gt;0,(SUMIFS(Effektmåling!$J$178:$J$182,Effektmåling!$D$178:$D$182,$B99,$AH$120:$AH$124,BF$3))*-AY99,"")</f>
        <v/>
      </c>
      <c r="BH99" s="29" t="str">
        <f>IF((SUMIFS(Effektmåling!$J$163:$J$167,Effektmåling!$D$163:$D$167,$B99,$AO$120:$AO$124,BH$3))&lt;&gt;0,(SUMIFS(Effektmåling!$J$163:$J$167,Effektmåling!$D$163:$D$167,$B99,$AO$120:$AO$124,BH$3))*-AT99,"")</f>
        <v/>
      </c>
      <c r="BI99" s="29" t="str">
        <f>IF((SUMIFS(Effektmåling!$J$163:$J$167,Effektmåling!$D$163:$D$167,$B99,$AO$120:$AO$124,BI$3))&lt;&gt;0,(SUMIFS(Effektmåling!$J$163:$J$167,Effektmåling!$D$163:$D$167,$B99,$AO$120:$AO$124,BI$3))*-AU99,"")</f>
        <v/>
      </c>
      <c r="BJ99" s="29" t="str">
        <f>IF((SUMIFS(Effektmåling!$J$163:$J$167,Effektmåling!$D$163:$D$167,$B99,$AO$120:$AO$124,BJ$3))&lt;&gt;0,(SUMIFS(Effektmåling!$J$163:$J$167,Effektmåling!$D$163:$D$167,$B99,$AO$120:$AO$124,BJ$3))*-AV99,"")</f>
        <v/>
      </c>
      <c r="BK99" s="29" t="str">
        <f>IF((SUMIFS(Effektmåling!$J$163:$J$167,Effektmåling!$D$163:$D$167,$B99,$AO$120:$AO$124,BK$3))&lt;&gt;0,(SUMIFS(Effektmåling!$J$163:$J$167,Effektmåling!$D$163:$D$167,$B99,$AO$120:$AO$124,BK$3))*-AW99,"")</f>
        <v/>
      </c>
      <c r="BL99" s="29" t="str">
        <f>IF((SUMIFS(Effektmåling!$J$163:$J$167,Effektmåling!$D$163:$D$167,$B99,$AO$120:$AO$124,BL$3))&lt;&gt;0,(SUMIFS(Effektmåling!$J$163:$J$167,Effektmåling!$D$163:$D$167,$B99,$AO$120:$AO$124,BL$3))*-AX99,"")</f>
        <v/>
      </c>
      <c r="BM99" s="29" t="str">
        <f>IF((SUMIFS(Effektmåling!$J$163:$J$167,Effektmåling!$D$163:$D$167,$B99,$AO$120:$AO$124,BM$3))&lt;&gt;0,(SUMIFS(Effektmåling!$J$163:$J$167,Effektmåling!$D$163:$D$167,$B99,$AO$120:$AO$124,BM$3))*-AY99,"")</f>
        <v/>
      </c>
    </row>
    <row r="100" spans="1:65" ht="9.6" customHeight="1" x14ac:dyDescent="0.15">
      <c r="A100" s="19">
        <f t="shared" si="75"/>
        <v>36</v>
      </c>
      <c r="B100" s="19" t="s">
        <v>282</v>
      </c>
      <c r="C100" s="19">
        <v>1</v>
      </c>
      <c r="D100" s="57">
        <v>0</v>
      </c>
      <c r="E100" s="57">
        <v>0</v>
      </c>
      <c r="F100" s="57">
        <v>0</v>
      </c>
      <c r="G100" s="22">
        <v>-2E-3</v>
      </c>
      <c r="H100" s="22">
        <f t="shared" si="85"/>
        <v>-1.1755</v>
      </c>
      <c r="I100" s="57">
        <v>0</v>
      </c>
      <c r="J100" s="57">
        <v>0</v>
      </c>
      <c r="K100" s="57">
        <v>0</v>
      </c>
      <c r="L100" s="74">
        <v>0</v>
      </c>
      <c r="M100" s="74">
        <v>0</v>
      </c>
      <c r="O100" s="40">
        <f t="shared" si="86"/>
        <v>0</v>
      </c>
      <c r="P100" s="480">
        <f>(IF(Effektmåling!$Q$241="Ja",-0.3*'DB materialer'!D40+G100,G100))-E100</f>
        <v>-2E-3</v>
      </c>
      <c r="Q100" s="480">
        <f>(IF(Effektmåling!$Q$241="Ja",1.3*H100,H100))-E100</f>
        <v>-1.1755</v>
      </c>
      <c r="R100" s="480">
        <f>(IF(Effektmåling!$Q$241="Ja",-0.3*'DB materialer'!D40+G100,G100))-F100</f>
        <v>-2E-3</v>
      </c>
      <c r="S100" s="480">
        <f>(IF(Effektmåling!$Q$241="Ja",1.3*H100,H100))-F100</f>
        <v>-1.1755</v>
      </c>
      <c r="T100" s="480">
        <f>(IF(Effektmåling!$Q$241="Ja",1.3*H100,H100))-(IF(Effektmåling!$Q$241="Ja",-0.3*'DB materialer'!D40+G100,G100))</f>
        <v>-1.1735</v>
      </c>
      <c r="AE100" s="19">
        <f t="shared" si="76"/>
        <v>34</v>
      </c>
      <c r="AF100" s="29" t="str">
        <f>IF((SUMIFS(Effektmåling!$J$178:$J$182,Effektmåling!$D$178:$D$182,$B100,$AH$120:$AH$124,'DB materialer'!AF$3))&lt;&gt;0,(SUMIFS(Effektmåling!$J$178:$J$182,Effektmåling!$D$178:$D$182,$B100,$AH$120:$AH$124,'DB materialer'!AF$3))*-O100,"")</f>
        <v/>
      </c>
      <c r="AG100" s="29" t="str">
        <f>IF((SUMIFS(Effektmåling!$J$178:$J$182,Effektmåling!$D$178:$D$182,$B100,$AH$120:$AH$124,'DB materialer'!AG$3))&lt;&gt;0,(SUMIFS(Effektmåling!$J$178:$J$182,Effektmåling!$D$178:$D$182,$B100,$AH$120:$AH$124,'DB materialer'!AG$3))*-P100,"")</f>
        <v/>
      </c>
      <c r="AH100" s="29" t="str">
        <f>IF((SUMIFS(Effektmåling!$J$178:$J$182,Effektmåling!$D$178:$D$182,$B100,$AH$120:$AH$124,'DB materialer'!AH$3))&lt;&gt;0,(SUMIFS(Effektmåling!$J$178:$J$182,Effektmåling!$D$178:$D$182,$B100,$AH$120:$AH$124,'DB materialer'!AH$3))*-Q100,"")</f>
        <v/>
      </c>
      <c r="AI100" s="29" t="str">
        <f>IF((SUMIFS(Effektmåling!$J$178:$J$182,Effektmåling!$D$178:$D$182,$B100,$AH$120:$AH$124,'DB materialer'!AI$3))&lt;&gt;0,(SUMIFS(Effektmåling!$J$178:$J$182,Effektmåling!$D$178:$D$182,$B100,$AH$120:$AH$124,'DB materialer'!AI$3))*-R100,"")</f>
        <v/>
      </c>
      <c r="AJ100" s="29" t="str">
        <f>IF((SUMIFS(Effektmåling!$J$178:$J$182,Effektmåling!$D$178:$D$182,$B100,$AH$120:$AH$124,'DB materialer'!AJ$3))&lt;&gt;0,(SUMIFS(Effektmåling!$J$178:$J$182,Effektmåling!$D$178:$D$182,$B100,$AH$120:$AH$124,'DB materialer'!AJ$3))*-S100,"")</f>
        <v/>
      </c>
      <c r="AK100" s="29" t="str">
        <f>IF((SUMIFS(Effektmåling!$J$178:$J$182,Effektmåling!$D$178:$D$182,$B100,$AH$120:$AH$124,'DB materialer'!AK$3))&lt;&gt;0,(SUMIFS(Effektmåling!$J$178:$J$182,Effektmåling!$D$178:$D$182,$B100,$AH$120:$AH$124,'DB materialer'!AK$3))*-T100,"")</f>
        <v/>
      </c>
      <c r="AM100" s="29" t="str">
        <f>IF((SUMIFS(Effektmåling!$J$163:$J$167,Effektmåling!$D$163:$D$167,$B100,$AO$120:$AO$124,'DB materialer'!AM$3))&lt;&gt;0,(SUMIFS(Effektmåling!$J$163:$J$167,Effektmåling!$D$163:$D$167,$B100,$AO$120:$AO$124,'DB materialer'!AM$3))*(-O100)*($C$122),"")</f>
        <v/>
      </c>
      <c r="AN100" s="29" t="str">
        <f>IF((SUMIFS(Effektmåling!$J$163:$J$167,Effektmåling!$D$163:$D$167,$B100,$AO$120:$AO$124,'DB materialer'!AN$3))&lt;&gt;0,(SUMIFS(Effektmåling!$J$163:$J$167,Effektmåling!$D$163:$D$167,$B100,$AO$120:$AO$124,'DB materialer'!AN$3))*(-P100)*($C$122),"")</f>
        <v/>
      </c>
      <c r="AO100" s="29" t="str">
        <f>IF((SUMIFS(Effektmåling!$J$163:$J$167,Effektmåling!$D$163:$D$167,$B100,$AO$120:$AO$124,'DB materialer'!AO$3))&lt;&gt;0,(SUMIFS(Effektmåling!$J$163:$J$167,Effektmåling!$D$163:$D$167,$B100,$AO$120:$AO$124,'DB materialer'!AO$3))*(-Q100)*($C$122),"")</f>
        <v/>
      </c>
      <c r="AP100" s="29" t="str">
        <f>IF((SUMIFS(Effektmåling!$J$163:$J$167,Effektmåling!$D$163:$D$167,$B100,$AO$120:$AO$124,'DB materialer'!AP$3))&lt;&gt;0,(SUMIFS(Effektmåling!$J$163:$J$167,Effektmåling!$D$163:$D$167,$B100,$AO$120:$AO$124,'DB materialer'!AP$3))*(-R100)*($C$122),"")</f>
        <v/>
      </c>
      <c r="AQ100" s="29" t="str">
        <f>IF((SUMIFS(Effektmåling!$J$163:$J$167,Effektmåling!$D$163:$D$167,$B100,$AO$120:$AO$124,'DB materialer'!AQ$3))&lt;&gt;0,(SUMIFS(Effektmåling!$J$163:$J$167,Effektmåling!$D$163:$D$167,$B100,$AO$120:$AO$124,'DB materialer'!AQ$3))*(-S100)*($C$122),"")</f>
        <v/>
      </c>
      <c r="AR100" s="29" t="str">
        <f>IF((SUMIFS(Effektmåling!$J$163:$J$167,Effektmåling!$D$163:$D$167,$B100,$AO$120:$AO$124,'DB materialer'!AR$3))&lt;&gt;0,(SUMIFS(Effektmåling!$J$163:$J$167,Effektmåling!$D$163:$D$167,$B100,$AO$120:$AO$124,'DB materialer'!AR$3))*(-T100)*($C$122),"")</f>
        <v/>
      </c>
      <c r="AT100" s="30">
        <f t="shared" si="87"/>
        <v>1.0000000000000001E-30</v>
      </c>
      <c r="AU100" s="40">
        <f t="shared" si="88"/>
        <v>1.0000000000000001E-30</v>
      </c>
      <c r="AV100" s="41">
        <f t="shared" si="89"/>
        <v>1.0000000000000001E-30</v>
      </c>
      <c r="AW100" s="40">
        <f t="shared" si="90"/>
        <v>1.0000000000000001E-30</v>
      </c>
      <c r="AX100" s="41">
        <f t="shared" si="91"/>
        <v>1.0000000000000001E-30</v>
      </c>
      <c r="AY100" s="41">
        <f t="shared" si="92"/>
        <v>1.0000000000000001E-30</v>
      </c>
      <c r="BA100" s="29" t="str">
        <f>IF((SUMIFS(Effektmåling!$J$178:$J$182,Effektmåling!$D$178:$D$182,$B100,$AH$120:$AH$124,BA$3))&lt;&gt;0,(SUMIFS(Effektmåling!$J$178:$J$182,Effektmåling!$D$178:$D$182,$B100,$AH$120:$AH$124,BA$3))*-AT100,"")</f>
        <v/>
      </c>
      <c r="BB100" s="29" t="str">
        <f>IF((SUMIFS(Effektmåling!$J$178:$J$182,Effektmåling!$D$178:$D$182,$B100,$AH$120:$AH$124,BB$3))&lt;&gt;0,(SUMIFS(Effektmåling!$J$178:$J$182,Effektmåling!$D$178:$D$182,$B100,$AH$120:$AH$124,BB$3))*-AU100,"")</f>
        <v/>
      </c>
      <c r="BC100" s="29" t="str">
        <f>IF((SUMIFS(Effektmåling!$J$178:$J$182,Effektmåling!$D$178:$D$182,$B100,$AH$120:$AH$124,BC$3))&lt;&gt;0,(SUMIFS(Effektmåling!$J$178:$J$182,Effektmåling!$D$178:$D$182,$B100,$AH$120:$AH$124,BC$3))*-AV100,"")</f>
        <v/>
      </c>
      <c r="BD100" s="29" t="str">
        <f>IF((SUMIFS(Effektmåling!$J$178:$J$182,Effektmåling!$D$178:$D$182,$B100,$AH$120:$AH$124,BD$3))&lt;&gt;0,(SUMIFS(Effektmåling!$J$178:$J$182,Effektmåling!$D$178:$D$182,$B100,$AH$120:$AH$124,BD$3))*-AW100,"")</f>
        <v/>
      </c>
      <c r="BE100" s="29" t="str">
        <f>IF((SUMIFS(Effektmåling!$J$178:$J$182,Effektmåling!$D$178:$D$182,$B100,$AH$120:$AH$124,BE$3))&lt;&gt;0,(SUMIFS(Effektmåling!$J$178:$J$182,Effektmåling!$D$178:$D$182,$B100,$AH$120:$AH$124,BE$3))*-AX100,"")</f>
        <v/>
      </c>
      <c r="BF100" s="29" t="str">
        <f>IF((SUMIFS(Effektmåling!$J$178:$J$182,Effektmåling!$D$178:$D$182,$B100,$AH$120:$AH$124,BF$3))&lt;&gt;0,(SUMIFS(Effektmåling!$J$178:$J$182,Effektmåling!$D$178:$D$182,$B100,$AH$120:$AH$124,BF$3))*-AY100,"")</f>
        <v/>
      </c>
      <c r="BH100" s="29" t="str">
        <f>IF((SUMIFS(Effektmåling!$J$163:$J$167,Effektmåling!$D$163:$D$167,$B100,$AO$120:$AO$124,BH$3))&lt;&gt;0,(SUMIFS(Effektmåling!$J$163:$J$167,Effektmåling!$D$163:$D$167,$B100,$AO$120:$AO$124,BH$3))*-AT100,"")</f>
        <v/>
      </c>
      <c r="BI100" s="29" t="str">
        <f>IF((SUMIFS(Effektmåling!$J$163:$J$167,Effektmåling!$D$163:$D$167,$B100,$AO$120:$AO$124,BI$3))&lt;&gt;0,(SUMIFS(Effektmåling!$J$163:$J$167,Effektmåling!$D$163:$D$167,$B100,$AO$120:$AO$124,BI$3))*-AU100,"")</f>
        <v/>
      </c>
      <c r="BJ100" s="29" t="str">
        <f>IF((SUMIFS(Effektmåling!$J$163:$J$167,Effektmåling!$D$163:$D$167,$B100,$AO$120:$AO$124,BJ$3))&lt;&gt;0,(SUMIFS(Effektmåling!$J$163:$J$167,Effektmåling!$D$163:$D$167,$B100,$AO$120:$AO$124,BJ$3))*-AV100,"")</f>
        <v/>
      </c>
      <c r="BK100" s="29" t="str">
        <f>IF((SUMIFS(Effektmåling!$J$163:$J$167,Effektmåling!$D$163:$D$167,$B100,$AO$120:$AO$124,BK$3))&lt;&gt;0,(SUMIFS(Effektmåling!$J$163:$J$167,Effektmåling!$D$163:$D$167,$B100,$AO$120:$AO$124,BK$3))*-AW100,"")</f>
        <v/>
      </c>
      <c r="BL100" s="29" t="str">
        <f>IF((SUMIFS(Effektmåling!$J$163:$J$167,Effektmåling!$D$163:$D$167,$B100,$AO$120:$AO$124,BL$3))&lt;&gt;0,(SUMIFS(Effektmåling!$J$163:$J$167,Effektmåling!$D$163:$D$167,$B100,$AO$120:$AO$124,BL$3))*-AX100,"")</f>
        <v/>
      </c>
      <c r="BM100" s="29" t="str">
        <f>IF((SUMIFS(Effektmåling!$J$163:$J$167,Effektmåling!$D$163:$D$167,$B100,$AO$120:$AO$124,BM$3))&lt;&gt;0,(SUMIFS(Effektmåling!$J$163:$J$167,Effektmåling!$D$163:$D$167,$B100,$AO$120:$AO$124,BM$3))*-AY100,"")</f>
        <v/>
      </c>
    </row>
    <row r="101" spans="1:65" s="474" customFormat="1" x14ac:dyDescent="0.15">
      <c r="A101" s="474">
        <f t="shared" si="75"/>
        <v>37</v>
      </c>
      <c r="B101" s="474" t="s">
        <v>597</v>
      </c>
      <c r="C101" s="474">
        <v>1</v>
      </c>
      <c r="D101" s="481">
        <v>0</v>
      </c>
      <c r="E101" s="481">
        <v>0</v>
      </c>
      <c r="F101" s="481">
        <v>-2.5</v>
      </c>
      <c r="G101" s="166">
        <v>-9.5</v>
      </c>
      <c r="H101" s="166">
        <f t="shared" si="85"/>
        <v>-21</v>
      </c>
      <c r="I101" s="481">
        <v>0</v>
      </c>
      <c r="J101" s="481">
        <v>0</v>
      </c>
      <c r="K101" s="481">
        <v>-2.7</v>
      </c>
      <c r="L101" s="484">
        <v>-0.09</v>
      </c>
      <c r="M101" s="484">
        <v>-0.1</v>
      </c>
      <c r="O101" s="479">
        <f t="shared" ref="O101" si="93">F101-E101</f>
        <v>-2.5</v>
      </c>
      <c r="P101" s="480">
        <f>(IF(Effektmåling!$Q$241="Ja",-0.3*'DB materialer'!D41+G101,G101))-E101</f>
        <v>-9.5</v>
      </c>
      <c r="Q101" s="480">
        <f>(IF(Effektmåling!$Q$241="Ja",1.3*H101,H101))-E101</f>
        <v>-21</v>
      </c>
      <c r="R101" s="480">
        <f>(IF(Effektmåling!$Q$241="Ja",-0.3*'DB materialer'!D41+G101,G101))-F101</f>
        <v>-7</v>
      </c>
      <c r="S101" s="480">
        <f>(IF(Effektmåling!$Q$241="Ja",1.3*H101,H101))-F101</f>
        <v>-18.5</v>
      </c>
      <c r="T101" s="480">
        <f>(IF(Effektmåling!$Q$241="Ja",1.3*H101,H101))-(IF(Effektmåling!$Q$241="Ja",-0.3*'DB materialer'!D41+G101,G101))</f>
        <v>-11.5</v>
      </c>
      <c r="AE101" s="474">
        <f t="shared" si="76"/>
        <v>35</v>
      </c>
      <c r="AF101" s="476" t="str">
        <f>IF((SUMIFS(Effektmåling!$J$178:$J$182,Effektmåling!$D$178:$D$182,$B101,$AH$120:$AH$124,'DB materialer'!AF$3))&lt;&gt;0,(SUMIFS(Effektmåling!$J$178:$J$182,Effektmåling!$D$178:$D$182,$B101,$AH$120:$AH$124,'DB materialer'!AF$3))*-O101,"")</f>
        <v/>
      </c>
      <c r="AG101" s="476" t="str">
        <f>IF((SUMIFS(Effektmåling!$J$178:$J$182,Effektmåling!$D$178:$D$182,$B101,$AH$120:$AH$124,'DB materialer'!AG$3))&lt;&gt;0,(SUMIFS(Effektmåling!$J$178:$J$182,Effektmåling!$D$178:$D$182,$B101,$AH$120:$AH$124,'DB materialer'!AG$3))*-P101,"")</f>
        <v/>
      </c>
      <c r="AH101" s="476" t="str">
        <f>IF((SUMIFS(Effektmåling!$J$178:$J$182,Effektmåling!$D$178:$D$182,$B101,$AH$120:$AH$124,'DB materialer'!AH$3))&lt;&gt;0,(SUMIFS(Effektmåling!$J$178:$J$182,Effektmåling!$D$178:$D$182,$B101,$AH$120:$AH$124,'DB materialer'!AH$3))*-Q101,"")</f>
        <v/>
      </c>
      <c r="AI101" s="476" t="str">
        <f>IF((SUMIFS(Effektmåling!$J$178:$J$182,Effektmåling!$D$178:$D$182,$B101,$AH$120:$AH$124,'DB materialer'!AI$3))&lt;&gt;0,(SUMIFS(Effektmåling!$J$178:$J$182,Effektmåling!$D$178:$D$182,$B101,$AH$120:$AH$124,'DB materialer'!AI$3))*-R101,"")</f>
        <v/>
      </c>
      <c r="AJ101" s="476" t="str">
        <f>IF((SUMIFS(Effektmåling!$J$178:$J$182,Effektmåling!$D$178:$D$182,$B101,$AH$120:$AH$124,'DB materialer'!AJ$3))&lt;&gt;0,(SUMIFS(Effektmåling!$J$178:$J$182,Effektmåling!$D$178:$D$182,$B101,$AH$120:$AH$124,'DB materialer'!AJ$3))*-S101,"")</f>
        <v/>
      </c>
      <c r="AK101" s="476" t="str">
        <f>IF((SUMIFS(Effektmåling!$J$178:$J$182,Effektmåling!$D$178:$D$182,$B101,$AH$120:$AH$124,'DB materialer'!AK$3))&lt;&gt;0,(SUMIFS(Effektmåling!$J$178:$J$182,Effektmåling!$D$178:$D$182,$B101,$AH$120:$AH$124,'DB materialer'!AK$3))*-T101,"")</f>
        <v/>
      </c>
      <c r="AM101" s="476" t="str">
        <f>IF((SUMIFS(Effektmåling!$J$163:$J$167,Effektmåling!$D$163:$D$167,$B101,$AO$120:$AO$124,'DB materialer'!AM$3))&lt;&gt;0,(SUMIFS(Effektmåling!$J$163:$J$167,Effektmåling!$D$163:$D$167,$B101,$AO$120:$AO$124,'DB materialer'!AM$3))*(-O101)*($C$122),"")</f>
        <v/>
      </c>
      <c r="AN101" s="476" t="str">
        <f>IF((SUMIFS(Effektmåling!$J$163:$J$167,Effektmåling!$D$163:$D$167,$B101,$AO$120:$AO$124,'DB materialer'!AN$3))&lt;&gt;0,(SUMIFS(Effektmåling!$J$163:$J$167,Effektmåling!$D$163:$D$167,$B101,$AO$120:$AO$124,'DB materialer'!AN$3))*(-P101)*($C$122),"")</f>
        <v/>
      </c>
      <c r="AO101" s="476" t="str">
        <f>IF((SUMIFS(Effektmåling!$J$163:$J$167,Effektmåling!$D$163:$D$167,$B101,$AO$120:$AO$124,'DB materialer'!AO$3))&lt;&gt;0,(SUMIFS(Effektmåling!$J$163:$J$167,Effektmåling!$D$163:$D$167,$B101,$AO$120:$AO$124,'DB materialer'!AO$3))*(-Q101)*($C$122),"")</f>
        <v/>
      </c>
      <c r="AP101" s="476" t="str">
        <f>IF((SUMIFS(Effektmåling!$J$163:$J$167,Effektmåling!$D$163:$D$167,$B101,$AO$120:$AO$124,'DB materialer'!AP$3))&lt;&gt;0,(SUMIFS(Effektmåling!$J$163:$J$167,Effektmåling!$D$163:$D$167,$B101,$AO$120:$AO$124,'DB materialer'!AP$3))*(-R101)*($C$122),"")</f>
        <v/>
      </c>
      <c r="AQ101" s="476" t="str">
        <f>IF((SUMIFS(Effektmåling!$J$163:$J$167,Effektmåling!$D$163:$D$167,$B101,$AO$120:$AO$124,'DB materialer'!AQ$3))&lt;&gt;0,(SUMIFS(Effektmåling!$J$163:$J$167,Effektmåling!$D$163:$D$167,$B101,$AO$120:$AO$124,'DB materialer'!AQ$3))*(-S101)*($C$122),"")</f>
        <v/>
      </c>
      <c r="AR101" s="476" t="str">
        <f>IF((SUMIFS(Effektmåling!$J$163:$J$167,Effektmåling!$D$163:$D$167,$B101,$AO$120:$AO$124,'DB materialer'!AR$3))&lt;&gt;0,(SUMIFS(Effektmåling!$J$163:$J$167,Effektmåling!$D$163:$D$167,$B101,$AO$120:$AO$124,'DB materialer'!AR$3))*(-T101)*($C$122),"")</f>
        <v/>
      </c>
      <c r="AT101" s="477">
        <f t="shared" ref="AT101" si="94">IF((K101-J101)=0,1E-30,K101-J101)</f>
        <v>-2.7</v>
      </c>
      <c r="AU101" s="479">
        <f t="shared" ref="AU101" si="95">IF((L101-J101)=0,1E-30,L101-J101)</f>
        <v>-0.09</v>
      </c>
      <c r="AV101" s="480">
        <f t="shared" ref="AV101" si="96">IF((M101-J101)=0,1E-30,M101-J101)</f>
        <v>-0.1</v>
      </c>
      <c r="AW101" s="479">
        <f t="shared" ref="AW101" si="97">IF((L101-K101)=0,1E-30,L101-K101)</f>
        <v>2.6100000000000003</v>
      </c>
      <c r="AX101" s="480">
        <f t="shared" ref="AX101" si="98">IF((M101-K101)=0,1E-30,M101-K101)</f>
        <v>2.6</v>
      </c>
      <c r="AY101" s="480">
        <f t="shared" ref="AY101" si="99">IF((M101-L101)=0,1E-30,M101-L101)</f>
        <v>-1.0000000000000009E-2</v>
      </c>
      <c r="BA101" s="476" t="str">
        <f>IF((SUMIFS(Effektmåling!$J$178:$J$182,Effektmåling!$D$178:$D$182,$B101,$AH$120:$AH$124,BA$3))&lt;&gt;0,(SUMIFS(Effektmåling!$J$178:$J$182,Effektmåling!$D$178:$D$182,$B101,$AH$120:$AH$124,BA$3))*-AT101,"")</f>
        <v/>
      </c>
      <c r="BB101" s="476" t="str">
        <f>IF((SUMIFS(Effektmåling!$J$178:$J$182,Effektmåling!$D$178:$D$182,$B101,$AH$120:$AH$124,BB$3))&lt;&gt;0,(SUMIFS(Effektmåling!$J$178:$J$182,Effektmåling!$D$178:$D$182,$B101,$AH$120:$AH$124,BB$3))*-AU101,"")</f>
        <v/>
      </c>
      <c r="BC101" s="476" t="str">
        <f>IF((SUMIFS(Effektmåling!$J$178:$J$182,Effektmåling!$D$178:$D$182,$B101,$AH$120:$AH$124,BC$3))&lt;&gt;0,(SUMIFS(Effektmåling!$J$178:$J$182,Effektmåling!$D$178:$D$182,$B101,$AH$120:$AH$124,BC$3))*-AV101,"")</f>
        <v/>
      </c>
      <c r="BD101" s="476" t="str">
        <f>IF((SUMIFS(Effektmåling!$J$178:$J$182,Effektmåling!$D$178:$D$182,$B101,$AH$120:$AH$124,BD$3))&lt;&gt;0,(SUMIFS(Effektmåling!$J$178:$J$182,Effektmåling!$D$178:$D$182,$B101,$AH$120:$AH$124,BD$3))*-AW101,"")</f>
        <v/>
      </c>
      <c r="BE101" s="476" t="str">
        <f>IF((SUMIFS(Effektmåling!$J$178:$J$182,Effektmåling!$D$178:$D$182,$B101,$AH$120:$AH$124,BE$3))&lt;&gt;0,(SUMIFS(Effektmåling!$J$178:$J$182,Effektmåling!$D$178:$D$182,$B101,$AH$120:$AH$124,BE$3))*-AX101,"")</f>
        <v/>
      </c>
      <c r="BF101" s="476" t="str">
        <f>IF((SUMIFS(Effektmåling!$J$178:$J$182,Effektmåling!$D$178:$D$182,$B101,$AH$120:$AH$124,BF$3))&lt;&gt;0,(SUMIFS(Effektmåling!$J$178:$J$182,Effektmåling!$D$178:$D$182,$B101,$AH$120:$AH$124,BF$3))*-AY101,"")</f>
        <v/>
      </c>
      <c r="BH101" s="476" t="str">
        <f>IF((SUMIFS(Effektmåling!$J$163:$J$167,Effektmåling!$D$163:$D$167,$B101,$AO$120:$AO$124,BH$3))&lt;&gt;0,(SUMIFS(Effektmåling!$J$163:$J$167,Effektmåling!$D$163:$D$167,$B101,$AO$120:$AO$124,BH$3))*-AT101,"")</f>
        <v/>
      </c>
      <c r="BI101" s="476" t="str">
        <f>IF((SUMIFS(Effektmåling!$J$163:$J$167,Effektmåling!$D$163:$D$167,$B101,$AO$120:$AO$124,BI$3))&lt;&gt;0,(SUMIFS(Effektmåling!$J$163:$J$167,Effektmåling!$D$163:$D$167,$B101,$AO$120:$AO$124,BI$3))*-AU101,"")</f>
        <v/>
      </c>
      <c r="BJ101" s="476" t="str">
        <f>IF((SUMIFS(Effektmåling!$J$163:$J$167,Effektmåling!$D$163:$D$167,$B101,$AO$120:$AO$124,BJ$3))&lt;&gt;0,(SUMIFS(Effektmåling!$J$163:$J$167,Effektmåling!$D$163:$D$167,$B101,$AO$120:$AO$124,BJ$3))*-AV101,"")</f>
        <v/>
      </c>
      <c r="BK101" s="476" t="str">
        <f>IF((SUMIFS(Effektmåling!$J$163:$J$167,Effektmåling!$D$163:$D$167,$B101,$AO$120:$AO$124,BK$3))&lt;&gt;0,(SUMIFS(Effektmåling!$J$163:$J$167,Effektmåling!$D$163:$D$167,$B101,$AO$120:$AO$124,BK$3))*-AW101,"")</f>
        <v/>
      </c>
      <c r="BL101" s="476" t="str">
        <f>IF((SUMIFS(Effektmåling!$J$163:$J$167,Effektmåling!$D$163:$D$167,$B101,$AO$120:$AO$124,BL$3))&lt;&gt;0,(SUMIFS(Effektmåling!$J$163:$J$167,Effektmåling!$D$163:$D$167,$B101,$AO$120:$AO$124,BL$3))*-AX101,"")</f>
        <v/>
      </c>
      <c r="BM101" s="476" t="str">
        <f>IF((SUMIFS(Effektmåling!$J$163:$J$167,Effektmåling!$D$163:$D$167,$B101,$AO$120:$AO$124,BM$3))&lt;&gt;0,(SUMIFS(Effektmåling!$J$163:$J$167,Effektmåling!$D$163:$D$167,$B101,$AO$120:$AO$124,BM$3))*-AY101,"")</f>
        <v/>
      </c>
    </row>
    <row r="102" spans="1:65" x14ac:dyDescent="0.15">
      <c r="A102" s="474">
        <f t="shared" si="75"/>
        <v>38</v>
      </c>
      <c r="B102" s="19" t="s">
        <v>283</v>
      </c>
      <c r="C102" s="18" t="s">
        <v>245</v>
      </c>
      <c r="D102" s="18" t="s">
        <v>245</v>
      </c>
      <c r="E102" s="18" t="s">
        <v>245</v>
      </c>
      <c r="F102" s="18" t="s">
        <v>245</v>
      </c>
      <c r="G102" s="18" t="s">
        <v>245</v>
      </c>
      <c r="H102" s="18" t="s">
        <v>245</v>
      </c>
      <c r="I102" s="18" t="s">
        <v>245</v>
      </c>
      <c r="J102" s="18" t="s">
        <v>245</v>
      </c>
      <c r="K102" s="18" t="s">
        <v>245</v>
      </c>
      <c r="L102" s="18" t="s">
        <v>245</v>
      </c>
      <c r="M102" s="18" t="s">
        <v>245</v>
      </c>
      <c r="O102" s="149"/>
      <c r="P102" s="480"/>
      <c r="Q102" s="480"/>
      <c r="R102" s="480"/>
      <c r="S102" s="480"/>
      <c r="T102" s="480"/>
      <c r="U102" s="480"/>
      <c r="V102" s="480"/>
      <c r="AE102" s="474">
        <f t="shared" si="76"/>
        <v>36</v>
      </c>
      <c r="AF102" s="45"/>
      <c r="AG102" s="45"/>
      <c r="AH102" s="45"/>
      <c r="AI102" s="45"/>
      <c r="AJ102" s="45"/>
      <c r="AK102" s="45"/>
      <c r="AM102" s="45"/>
      <c r="AN102" s="45"/>
      <c r="AO102" s="45"/>
      <c r="AP102" s="45"/>
      <c r="AQ102" s="45"/>
      <c r="AR102" s="45"/>
      <c r="AT102" s="47"/>
      <c r="AU102" s="149"/>
      <c r="AV102" s="51"/>
      <c r="AW102" s="149"/>
      <c r="AX102" s="51"/>
      <c r="AY102" s="51"/>
      <c r="BA102" s="45"/>
      <c r="BB102" s="45"/>
      <c r="BC102" s="45"/>
      <c r="BD102" s="45"/>
      <c r="BE102" s="45"/>
      <c r="BF102" s="45"/>
      <c r="BH102" s="45"/>
      <c r="BI102" s="45"/>
      <c r="BJ102" s="45"/>
      <c r="BK102" s="45"/>
      <c r="BL102" s="45"/>
      <c r="BM102" s="45"/>
    </row>
    <row r="103" spans="1:65" x14ac:dyDescent="0.15">
      <c r="A103" s="474">
        <f t="shared" si="75"/>
        <v>39</v>
      </c>
      <c r="B103" s="19" t="s">
        <v>284</v>
      </c>
      <c r="C103" s="19">
        <v>1</v>
      </c>
      <c r="D103" s="57">
        <v>0</v>
      </c>
      <c r="E103" s="57">
        <v>0</v>
      </c>
      <c r="F103" s="57">
        <v>-0.39200000000000002</v>
      </c>
      <c r="G103" s="112">
        <v>-1.2749999999999999</v>
      </c>
      <c r="H103" s="27">
        <f t="shared" ref="H103:H112" si="100">-D43</f>
        <v>-1.2749999999999999</v>
      </c>
      <c r="I103" s="57">
        <v>0</v>
      </c>
      <c r="J103" s="57">
        <v>0</v>
      </c>
      <c r="K103" s="113">
        <v>-4.0031453199988185</v>
      </c>
      <c r="L103" s="74">
        <v>0</v>
      </c>
      <c r="M103" s="74">
        <v>0</v>
      </c>
      <c r="O103" s="40">
        <f t="shared" ref="O103:O112" si="101">F103-E103</f>
        <v>-0.39200000000000002</v>
      </c>
      <c r="P103" s="480">
        <f>(IF(Effektmåling!$Q$241="Ja",-0.3*'DB materialer'!D43+G103,G103))-E103</f>
        <v>-1.2749999999999999</v>
      </c>
      <c r="Q103" s="480">
        <f>(IF(Effektmåling!$Q$241="Ja",1.3*H103,H103))-E103</f>
        <v>-1.2749999999999999</v>
      </c>
      <c r="R103" s="480">
        <f>(IF(Effektmåling!$Q$241="Ja",-0.3*'DB materialer'!D43+G103,G103))-F103</f>
        <v>-0.8829999999999999</v>
      </c>
      <c r="S103" s="480">
        <f>(IF(Effektmåling!$Q$241="Ja",1.3*H103,H103))-F103</f>
        <v>-0.8829999999999999</v>
      </c>
      <c r="T103" s="480">
        <f>(IF(Effektmåling!$Q$241="Ja",1.3*H103,H103))-(IF(Effektmåling!$Q$241="Ja",-0.3*'DB materialer'!D43+G103,G103))</f>
        <v>0</v>
      </c>
      <c r="AE103" s="474">
        <f t="shared" si="76"/>
        <v>37</v>
      </c>
      <c r="AF103" s="29" t="str">
        <f>IF((SUMIFS(Effektmåling!$J$178:$J$182,Effektmåling!$D$178:$D$182,$B103,$AH$120:$AH$124,'DB materialer'!AF$3))&lt;&gt;0,(SUMIFS(Effektmåling!$J$178:$J$182,Effektmåling!$D$178:$D$182,$B103,$AH$120:$AH$124,'DB materialer'!AF$3))*-O103,"")</f>
        <v/>
      </c>
      <c r="AG103" s="29" t="str">
        <f>IF((SUMIFS(Effektmåling!$J$178:$J$182,Effektmåling!$D$178:$D$182,$B103,$AH$120:$AH$124,'DB materialer'!AG$3))&lt;&gt;0,(SUMIFS(Effektmåling!$J$178:$J$182,Effektmåling!$D$178:$D$182,$B103,$AH$120:$AH$124,'DB materialer'!AG$3))*-P103,"")</f>
        <v/>
      </c>
      <c r="AH103" s="29" t="str">
        <f>IF((SUMIFS(Effektmåling!$J$178:$J$182,Effektmåling!$D$178:$D$182,$B103,$AH$120:$AH$124,'DB materialer'!AH$3))&lt;&gt;0,(SUMIFS(Effektmåling!$J$178:$J$182,Effektmåling!$D$178:$D$182,$B103,$AH$120:$AH$124,'DB materialer'!AH$3))*-Q103,"")</f>
        <v/>
      </c>
      <c r="AI103" s="29" t="str">
        <f>IF((SUMIFS(Effektmåling!$J$178:$J$182,Effektmåling!$D$178:$D$182,$B103,$AH$120:$AH$124,'DB materialer'!AI$3))&lt;&gt;0,(SUMIFS(Effektmåling!$J$178:$J$182,Effektmåling!$D$178:$D$182,$B103,$AH$120:$AH$124,'DB materialer'!AI$3))*-R103,"")</f>
        <v/>
      </c>
      <c r="AJ103" s="29" t="str">
        <f>IF((SUMIFS(Effektmåling!$J$178:$J$182,Effektmåling!$D$178:$D$182,$B103,$AH$120:$AH$124,'DB materialer'!AJ$3))&lt;&gt;0,(SUMIFS(Effektmåling!$J$178:$J$182,Effektmåling!$D$178:$D$182,$B103,$AH$120:$AH$124,'DB materialer'!AJ$3))*-S103,"")</f>
        <v/>
      </c>
      <c r="AK103" s="29" t="str">
        <f>IF((SUMIFS(Effektmåling!$J$178:$J$182,Effektmåling!$D$178:$D$182,$B103,$AH$120:$AH$124,'DB materialer'!AK$3))&lt;&gt;0,(SUMIFS(Effektmåling!$J$178:$J$182,Effektmåling!$D$178:$D$182,$B103,$AH$120:$AH$124,'DB materialer'!AK$3))*-T103,"")</f>
        <v/>
      </c>
      <c r="AM103" s="29" t="str">
        <f>IF((SUMIFS(Effektmåling!$J$163:$J$167,Effektmåling!$D$163:$D$167,$B103,$AO$120:$AO$124,'DB materialer'!AM$3))&lt;&gt;0,(SUMIFS(Effektmåling!$J$163:$J$167,Effektmåling!$D$163:$D$167,$B103,$AO$120:$AO$124,'DB materialer'!AM$3))*(-O103)*($C$122),"")</f>
        <v/>
      </c>
      <c r="AN103" s="29" t="str">
        <f>IF((SUMIFS(Effektmåling!$J$163:$J$167,Effektmåling!$D$163:$D$167,$B103,$AO$120:$AO$124,'DB materialer'!AN$3))&lt;&gt;0,(SUMIFS(Effektmåling!$J$163:$J$167,Effektmåling!$D$163:$D$167,$B103,$AO$120:$AO$124,'DB materialer'!AN$3))*(-P103)*($C$122),"")</f>
        <v/>
      </c>
      <c r="AO103" s="29" t="str">
        <f>IF((SUMIFS(Effektmåling!$J$163:$J$167,Effektmåling!$D$163:$D$167,$B103,$AO$120:$AO$124,'DB materialer'!AO$3))&lt;&gt;0,(SUMIFS(Effektmåling!$J$163:$J$167,Effektmåling!$D$163:$D$167,$B103,$AO$120:$AO$124,'DB materialer'!AO$3))*(-Q103)*($C$122),"")</f>
        <v/>
      </c>
      <c r="AP103" s="29" t="str">
        <f>IF((SUMIFS(Effektmåling!$J$163:$J$167,Effektmåling!$D$163:$D$167,$B103,$AO$120:$AO$124,'DB materialer'!AP$3))&lt;&gt;0,(SUMIFS(Effektmåling!$J$163:$J$167,Effektmåling!$D$163:$D$167,$B103,$AO$120:$AO$124,'DB materialer'!AP$3))*(-R103)*($C$122),"")</f>
        <v/>
      </c>
      <c r="AQ103" s="29" t="str">
        <f>IF((SUMIFS(Effektmåling!$J$163:$J$167,Effektmåling!$D$163:$D$167,$B103,$AO$120:$AO$124,'DB materialer'!AQ$3))&lt;&gt;0,(SUMIFS(Effektmåling!$J$163:$J$167,Effektmåling!$D$163:$D$167,$B103,$AO$120:$AO$124,'DB materialer'!AQ$3))*(-S103)*($C$122),"")</f>
        <v/>
      </c>
      <c r="AR103" s="29" t="str">
        <f>IF((SUMIFS(Effektmåling!$J$163:$J$167,Effektmåling!$D$163:$D$167,$B103,$AO$120:$AO$124,'DB materialer'!AR$3))&lt;&gt;0,(SUMIFS(Effektmåling!$J$163:$J$167,Effektmåling!$D$163:$D$167,$B103,$AO$120:$AO$124,'DB materialer'!AR$3))*(-T103)*($C$122),"")</f>
        <v/>
      </c>
      <c r="AT103" s="30">
        <f t="shared" ref="AT103:AT112" si="102">IF((K103-J103)=0,1E-30,K103-J103)</f>
        <v>-4.0031453199988185</v>
      </c>
      <c r="AU103" s="40">
        <f t="shared" ref="AU103:AU112" si="103">IF((L103-J103)=0,1E-30,L103-J103)</f>
        <v>1.0000000000000001E-30</v>
      </c>
      <c r="AV103" s="41">
        <f t="shared" ref="AV103:AV112" si="104">IF((M103-J103)=0,1E-30,M103-J103)</f>
        <v>1.0000000000000001E-30</v>
      </c>
      <c r="AW103" s="40">
        <f t="shared" ref="AW103:AW112" si="105">IF((L103-K103)=0,1E-30,L103-K103)</f>
        <v>4.0031453199988185</v>
      </c>
      <c r="AX103" s="41">
        <f t="shared" ref="AX103:AX112" si="106">IF((M103-K103)=0,1E-30,M103-K103)</f>
        <v>4.0031453199988185</v>
      </c>
      <c r="AY103" s="41">
        <f t="shared" ref="AY103:AY112" si="107">IF((M103-L103)=0,1E-30,M103-L103)</f>
        <v>1.0000000000000001E-30</v>
      </c>
      <c r="BA103" s="29" t="str">
        <f>IF((SUMIFS(Effektmåling!$J$178:$J$182,Effektmåling!$D$178:$D$182,$B103,$AH$120:$AH$124,BA$3))&lt;&gt;0,(SUMIFS(Effektmåling!$J$178:$J$182,Effektmåling!$D$178:$D$182,$B103,$AH$120:$AH$124,BA$3))*-AT103,"")</f>
        <v/>
      </c>
      <c r="BB103" s="29" t="str">
        <f>IF((SUMIFS(Effektmåling!$J$178:$J$182,Effektmåling!$D$178:$D$182,$B103,$AH$120:$AH$124,BB$3))&lt;&gt;0,(SUMIFS(Effektmåling!$J$178:$J$182,Effektmåling!$D$178:$D$182,$B103,$AH$120:$AH$124,BB$3))*-AU103,"")</f>
        <v/>
      </c>
      <c r="BC103" s="29" t="str">
        <f>IF((SUMIFS(Effektmåling!$J$178:$J$182,Effektmåling!$D$178:$D$182,$B103,$AH$120:$AH$124,BC$3))&lt;&gt;0,(SUMIFS(Effektmåling!$J$178:$J$182,Effektmåling!$D$178:$D$182,$B103,$AH$120:$AH$124,BC$3))*-AV103,"")</f>
        <v/>
      </c>
      <c r="BD103" s="29" t="str">
        <f>IF((SUMIFS(Effektmåling!$J$178:$J$182,Effektmåling!$D$178:$D$182,$B103,$AH$120:$AH$124,BD$3))&lt;&gt;0,(SUMIFS(Effektmåling!$J$178:$J$182,Effektmåling!$D$178:$D$182,$B103,$AH$120:$AH$124,BD$3))*-AW103,"")</f>
        <v/>
      </c>
      <c r="BE103" s="29" t="str">
        <f>IF((SUMIFS(Effektmåling!$J$178:$J$182,Effektmåling!$D$178:$D$182,$B103,$AH$120:$AH$124,BE$3))&lt;&gt;0,(SUMIFS(Effektmåling!$J$178:$J$182,Effektmåling!$D$178:$D$182,$B103,$AH$120:$AH$124,BE$3))*-AX103,"")</f>
        <v/>
      </c>
      <c r="BF103" s="29" t="str">
        <f>IF((SUMIFS(Effektmåling!$J$178:$J$182,Effektmåling!$D$178:$D$182,$B103,$AH$120:$AH$124,BF$3))&lt;&gt;0,(SUMIFS(Effektmåling!$J$178:$J$182,Effektmåling!$D$178:$D$182,$B103,$AH$120:$AH$124,BF$3))*-AY103,"")</f>
        <v/>
      </c>
      <c r="BH103" s="29" t="str">
        <f>IF((SUMIFS(Effektmåling!$J$163:$J$167,Effektmåling!$D$163:$D$167,$B103,$AO$120:$AO$124,BH$3))&lt;&gt;0,(SUMIFS(Effektmåling!$J$163:$J$167,Effektmåling!$D$163:$D$167,$B103,$AO$120:$AO$124,BH$3))*-AT103,"")</f>
        <v/>
      </c>
      <c r="BI103" s="29" t="str">
        <f>IF((SUMIFS(Effektmåling!$J$163:$J$167,Effektmåling!$D$163:$D$167,$B103,$AO$120:$AO$124,BI$3))&lt;&gt;0,(SUMIFS(Effektmåling!$J$163:$J$167,Effektmåling!$D$163:$D$167,$B103,$AO$120:$AO$124,BI$3))*-AU103,"")</f>
        <v/>
      </c>
      <c r="BJ103" s="29" t="str">
        <f>IF((SUMIFS(Effektmåling!$J$163:$J$167,Effektmåling!$D$163:$D$167,$B103,$AO$120:$AO$124,BJ$3))&lt;&gt;0,(SUMIFS(Effektmåling!$J$163:$J$167,Effektmåling!$D$163:$D$167,$B103,$AO$120:$AO$124,BJ$3))*-AV103,"")</f>
        <v/>
      </c>
      <c r="BK103" s="29" t="str">
        <f>IF((SUMIFS(Effektmåling!$J$163:$J$167,Effektmåling!$D$163:$D$167,$B103,$AO$120:$AO$124,BK$3))&lt;&gt;0,(SUMIFS(Effektmåling!$J$163:$J$167,Effektmåling!$D$163:$D$167,$B103,$AO$120:$AO$124,BK$3))*-AW103,"")</f>
        <v/>
      </c>
      <c r="BL103" s="29" t="str">
        <f>IF((SUMIFS(Effektmåling!$J$163:$J$167,Effektmåling!$D$163:$D$167,$B103,$AO$120:$AO$124,BL$3))&lt;&gt;0,(SUMIFS(Effektmåling!$J$163:$J$167,Effektmåling!$D$163:$D$167,$B103,$AO$120:$AO$124,BL$3))*-AX103,"")</f>
        <v/>
      </c>
      <c r="BM103" s="29" t="str">
        <f>IF((SUMIFS(Effektmåling!$J$163:$J$167,Effektmåling!$D$163:$D$167,$B103,$AO$120:$AO$124,BM$3))&lt;&gt;0,(SUMIFS(Effektmåling!$J$163:$J$167,Effektmåling!$D$163:$D$167,$B103,$AO$120:$AO$124,BM$3))*-AY103,"")</f>
        <v/>
      </c>
    </row>
    <row r="104" spans="1:65" x14ac:dyDescent="0.15">
      <c r="A104" s="474">
        <f t="shared" si="75"/>
        <v>40</v>
      </c>
      <c r="B104" s="19" t="s">
        <v>285</v>
      </c>
      <c r="C104" s="19">
        <v>1</v>
      </c>
      <c r="D104" s="57">
        <v>0</v>
      </c>
      <c r="E104" s="57">
        <v>0</v>
      </c>
      <c r="F104" s="57">
        <v>-0.39200000000000002</v>
      </c>
      <c r="G104" s="112">
        <v>-0.8</v>
      </c>
      <c r="H104" s="27">
        <f t="shared" si="100"/>
        <v>-0.8</v>
      </c>
      <c r="I104" s="57">
        <v>0</v>
      </c>
      <c r="J104" s="57">
        <v>0</v>
      </c>
      <c r="K104" s="113">
        <v>-4.0031453199988185</v>
      </c>
      <c r="L104" s="74">
        <v>0</v>
      </c>
      <c r="M104" s="74">
        <v>0</v>
      </c>
      <c r="O104" s="40">
        <f t="shared" si="101"/>
        <v>-0.39200000000000002</v>
      </c>
      <c r="P104" s="480">
        <f>(IF(Effektmåling!$Q$241="Ja",-0.3*'DB materialer'!D44+G104,G104))-E104</f>
        <v>-0.8</v>
      </c>
      <c r="Q104" s="480">
        <f>(IF(Effektmåling!$Q$241="Ja",1.3*H104,H104))-E104</f>
        <v>-0.8</v>
      </c>
      <c r="R104" s="480">
        <f>(IF(Effektmåling!$Q$241="Ja",-0.3*'DB materialer'!D44+G104,G104))-F104</f>
        <v>-0.40800000000000003</v>
      </c>
      <c r="S104" s="480">
        <f>(IF(Effektmåling!$Q$241="Ja",1.3*H104,H104))-F104</f>
        <v>-0.40800000000000003</v>
      </c>
      <c r="T104" s="480">
        <f>(IF(Effektmåling!$Q$241="Ja",1.3*H104,H104))-(IF(Effektmåling!$Q$241="Ja",-0.3*'DB materialer'!D44+G104,G104))</f>
        <v>0</v>
      </c>
      <c r="AE104" s="474">
        <f t="shared" si="76"/>
        <v>38</v>
      </c>
      <c r="AF104" s="29" t="str">
        <f>IF((SUMIFS(Effektmåling!$J$178:$J$182,Effektmåling!$D$178:$D$182,$B104,$AH$120:$AH$124,'DB materialer'!AF$3))&lt;&gt;0,(SUMIFS(Effektmåling!$J$178:$J$182,Effektmåling!$D$178:$D$182,$B104,$AH$120:$AH$124,'DB materialer'!AF$3))*-O104,"")</f>
        <v/>
      </c>
      <c r="AG104" s="29" t="str">
        <f>IF((SUMIFS(Effektmåling!$J$178:$J$182,Effektmåling!$D$178:$D$182,$B104,$AH$120:$AH$124,'DB materialer'!AG$3))&lt;&gt;0,(SUMIFS(Effektmåling!$J$178:$J$182,Effektmåling!$D$178:$D$182,$B104,$AH$120:$AH$124,'DB materialer'!AG$3))*-P104,"")</f>
        <v/>
      </c>
      <c r="AH104" s="29" t="str">
        <f>IF((SUMIFS(Effektmåling!$J$178:$J$182,Effektmåling!$D$178:$D$182,$B104,$AH$120:$AH$124,'DB materialer'!AH$3))&lt;&gt;0,(SUMIFS(Effektmåling!$J$178:$J$182,Effektmåling!$D$178:$D$182,$B104,$AH$120:$AH$124,'DB materialer'!AH$3))*-Q104,"")</f>
        <v/>
      </c>
      <c r="AI104" s="29" t="str">
        <f>IF((SUMIFS(Effektmåling!$J$178:$J$182,Effektmåling!$D$178:$D$182,$B104,$AH$120:$AH$124,'DB materialer'!AI$3))&lt;&gt;0,(SUMIFS(Effektmåling!$J$178:$J$182,Effektmåling!$D$178:$D$182,$B104,$AH$120:$AH$124,'DB materialer'!AI$3))*-R104,"")</f>
        <v/>
      </c>
      <c r="AJ104" s="29" t="str">
        <f>IF((SUMIFS(Effektmåling!$J$178:$J$182,Effektmåling!$D$178:$D$182,$B104,$AH$120:$AH$124,'DB materialer'!AJ$3))&lt;&gt;0,(SUMIFS(Effektmåling!$J$178:$J$182,Effektmåling!$D$178:$D$182,$B104,$AH$120:$AH$124,'DB materialer'!AJ$3))*-S104,"")</f>
        <v/>
      </c>
      <c r="AK104" s="29" t="str">
        <f>IF((SUMIFS(Effektmåling!$J$178:$J$182,Effektmåling!$D$178:$D$182,$B104,$AH$120:$AH$124,'DB materialer'!AK$3))&lt;&gt;0,(SUMIFS(Effektmåling!$J$178:$J$182,Effektmåling!$D$178:$D$182,$B104,$AH$120:$AH$124,'DB materialer'!AK$3))*-T104,"")</f>
        <v/>
      </c>
      <c r="AM104" s="29" t="str">
        <f>IF((SUMIFS(Effektmåling!$J$163:$J$167,Effektmåling!$D$163:$D$167,$B104,$AO$120:$AO$124,'DB materialer'!AM$3))&lt;&gt;0,(SUMIFS(Effektmåling!$J$163:$J$167,Effektmåling!$D$163:$D$167,$B104,$AO$120:$AO$124,'DB materialer'!AM$3))*(-O104)*($C$122),"")</f>
        <v/>
      </c>
      <c r="AN104" s="29" t="str">
        <f>IF((SUMIFS(Effektmåling!$J$163:$J$167,Effektmåling!$D$163:$D$167,$B104,$AO$120:$AO$124,'DB materialer'!AN$3))&lt;&gt;0,(SUMIFS(Effektmåling!$J$163:$J$167,Effektmåling!$D$163:$D$167,$B104,$AO$120:$AO$124,'DB materialer'!AN$3))*(-P104)*($C$122),"")</f>
        <v/>
      </c>
      <c r="AO104" s="29" t="str">
        <f>IF((SUMIFS(Effektmåling!$J$163:$J$167,Effektmåling!$D$163:$D$167,$B104,$AO$120:$AO$124,'DB materialer'!AO$3))&lt;&gt;0,(SUMIFS(Effektmåling!$J$163:$J$167,Effektmåling!$D$163:$D$167,$B104,$AO$120:$AO$124,'DB materialer'!AO$3))*(-Q104)*($C$122),"")</f>
        <v/>
      </c>
      <c r="AP104" s="29" t="str">
        <f>IF((SUMIFS(Effektmåling!$J$163:$J$167,Effektmåling!$D$163:$D$167,$B104,$AO$120:$AO$124,'DB materialer'!AP$3))&lt;&gt;0,(SUMIFS(Effektmåling!$J$163:$J$167,Effektmåling!$D$163:$D$167,$B104,$AO$120:$AO$124,'DB materialer'!AP$3))*(-R104)*($C$122),"")</f>
        <v/>
      </c>
      <c r="AQ104" s="29" t="str">
        <f>IF((SUMIFS(Effektmåling!$J$163:$J$167,Effektmåling!$D$163:$D$167,$B104,$AO$120:$AO$124,'DB materialer'!AQ$3))&lt;&gt;0,(SUMIFS(Effektmåling!$J$163:$J$167,Effektmåling!$D$163:$D$167,$B104,$AO$120:$AO$124,'DB materialer'!AQ$3))*(-S104)*($C$122),"")</f>
        <v/>
      </c>
      <c r="AR104" s="29" t="str">
        <f>IF((SUMIFS(Effektmåling!$J$163:$J$167,Effektmåling!$D$163:$D$167,$B104,$AO$120:$AO$124,'DB materialer'!AR$3))&lt;&gt;0,(SUMIFS(Effektmåling!$J$163:$J$167,Effektmåling!$D$163:$D$167,$B104,$AO$120:$AO$124,'DB materialer'!AR$3))*(-T104)*($C$122),"")</f>
        <v/>
      </c>
      <c r="AT104" s="30">
        <f t="shared" si="102"/>
        <v>-4.0031453199988185</v>
      </c>
      <c r="AU104" s="40">
        <f t="shared" si="103"/>
        <v>1.0000000000000001E-30</v>
      </c>
      <c r="AV104" s="41">
        <f t="shared" si="104"/>
        <v>1.0000000000000001E-30</v>
      </c>
      <c r="AW104" s="40">
        <f t="shared" si="105"/>
        <v>4.0031453199988185</v>
      </c>
      <c r="AX104" s="41">
        <f t="shared" si="106"/>
        <v>4.0031453199988185</v>
      </c>
      <c r="AY104" s="41">
        <f t="shared" si="107"/>
        <v>1.0000000000000001E-30</v>
      </c>
      <c r="BA104" s="29" t="str">
        <f>IF((SUMIFS(Effektmåling!$J$178:$J$182,Effektmåling!$D$178:$D$182,$B104,$AH$120:$AH$124,BA$3))&lt;&gt;0,(SUMIFS(Effektmåling!$J$178:$J$182,Effektmåling!$D$178:$D$182,$B104,$AH$120:$AH$124,BA$3))*-AT104,"")</f>
        <v/>
      </c>
      <c r="BB104" s="29" t="str">
        <f>IF((SUMIFS(Effektmåling!$J$178:$J$182,Effektmåling!$D$178:$D$182,$B104,$AH$120:$AH$124,BB$3))&lt;&gt;0,(SUMIFS(Effektmåling!$J$178:$J$182,Effektmåling!$D$178:$D$182,$B104,$AH$120:$AH$124,BB$3))*-AU104,"")</f>
        <v/>
      </c>
      <c r="BC104" s="29" t="str">
        <f>IF((SUMIFS(Effektmåling!$J$178:$J$182,Effektmåling!$D$178:$D$182,$B104,$AH$120:$AH$124,BC$3))&lt;&gt;0,(SUMIFS(Effektmåling!$J$178:$J$182,Effektmåling!$D$178:$D$182,$B104,$AH$120:$AH$124,BC$3))*-AV104,"")</f>
        <v/>
      </c>
      <c r="BD104" s="29" t="str">
        <f>IF((SUMIFS(Effektmåling!$J$178:$J$182,Effektmåling!$D$178:$D$182,$B104,$AH$120:$AH$124,BD$3))&lt;&gt;0,(SUMIFS(Effektmåling!$J$178:$J$182,Effektmåling!$D$178:$D$182,$B104,$AH$120:$AH$124,BD$3))*-AW104,"")</f>
        <v/>
      </c>
      <c r="BE104" s="29" t="str">
        <f>IF((SUMIFS(Effektmåling!$J$178:$J$182,Effektmåling!$D$178:$D$182,$B104,$AH$120:$AH$124,BE$3))&lt;&gt;0,(SUMIFS(Effektmåling!$J$178:$J$182,Effektmåling!$D$178:$D$182,$B104,$AH$120:$AH$124,BE$3))*-AX104,"")</f>
        <v/>
      </c>
      <c r="BF104" s="29" t="str">
        <f>IF((SUMIFS(Effektmåling!$J$178:$J$182,Effektmåling!$D$178:$D$182,$B104,$AH$120:$AH$124,BF$3))&lt;&gt;0,(SUMIFS(Effektmåling!$J$178:$J$182,Effektmåling!$D$178:$D$182,$B104,$AH$120:$AH$124,BF$3))*-AY104,"")</f>
        <v/>
      </c>
      <c r="BH104" s="29" t="str">
        <f>IF((SUMIFS(Effektmåling!$J$163:$J$167,Effektmåling!$D$163:$D$167,$B104,$AO$120:$AO$124,BH$3))&lt;&gt;0,(SUMIFS(Effektmåling!$J$163:$J$167,Effektmåling!$D$163:$D$167,$B104,$AO$120:$AO$124,BH$3))*-AT104,"")</f>
        <v/>
      </c>
      <c r="BI104" s="29" t="str">
        <f>IF((SUMIFS(Effektmåling!$J$163:$J$167,Effektmåling!$D$163:$D$167,$B104,$AO$120:$AO$124,BI$3))&lt;&gt;0,(SUMIFS(Effektmåling!$J$163:$J$167,Effektmåling!$D$163:$D$167,$B104,$AO$120:$AO$124,BI$3))*-AU104,"")</f>
        <v/>
      </c>
      <c r="BJ104" s="29" t="str">
        <f>IF((SUMIFS(Effektmåling!$J$163:$J$167,Effektmåling!$D$163:$D$167,$B104,$AO$120:$AO$124,BJ$3))&lt;&gt;0,(SUMIFS(Effektmåling!$J$163:$J$167,Effektmåling!$D$163:$D$167,$B104,$AO$120:$AO$124,BJ$3))*-AV104,"")</f>
        <v/>
      </c>
      <c r="BK104" s="29" t="str">
        <f>IF((SUMIFS(Effektmåling!$J$163:$J$167,Effektmåling!$D$163:$D$167,$B104,$AO$120:$AO$124,BK$3))&lt;&gt;0,(SUMIFS(Effektmåling!$J$163:$J$167,Effektmåling!$D$163:$D$167,$B104,$AO$120:$AO$124,BK$3))*-AW104,"")</f>
        <v/>
      </c>
      <c r="BL104" s="29" t="str">
        <f>IF((SUMIFS(Effektmåling!$J$163:$J$167,Effektmåling!$D$163:$D$167,$B104,$AO$120:$AO$124,BL$3))&lt;&gt;0,(SUMIFS(Effektmåling!$J$163:$J$167,Effektmåling!$D$163:$D$167,$B104,$AO$120:$AO$124,BL$3))*-AX104,"")</f>
        <v/>
      </c>
      <c r="BM104" s="29" t="str">
        <f>IF((SUMIFS(Effektmåling!$J$163:$J$167,Effektmåling!$D$163:$D$167,$B104,$AO$120:$AO$124,BM$3))&lt;&gt;0,(SUMIFS(Effektmåling!$J$163:$J$167,Effektmåling!$D$163:$D$167,$B104,$AO$120:$AO$124,BM$3))*-AY104,"")</f>
        <v/>
      </c>
    </row>
    <row r="105" spans="1:65" x14ac:dyDescent="0.15">
      <c r="A105" s="474">
        <f t="shared" si="75"/>
        <v>41</v>
      </c>
      <c r="B105" s="19" t="s">
        <v>286</v>
      </c>
      <c r="C105" s="19">
        <v>1</v>
      </c>
      <c r="D105" s="57">
        <v>0</v>
      </c>
      <c r="E105" s="57">
        <v>0</v>
      </c>
      <c r="F105" s="57">
        <v>-0.39200000000000002</v>
      </c>
      <c r="G105" s="112">
        <v>-0.30599999999999999</v>
      </c>
      <c r="H105" s="27">
        <f t="shared" si="100"/>
        <v>-0.30599999999999999</v>
      </c>
      <c r="I105" s="57">
        <v>0</v>
      </c>
      <c r="J105" s="57">
        <v>0</v>
      </c>
      <c r="K105" s="113">
        <v>-4.0031453199988185</v>
      </c>
      <c r="L105" s="74">
        <v>0</v>
      </c>
      <c r="M105" s="74">
        <v>0</v>
      </c>
      <c r="O105" s="40">
        <f t="shared" si="101"/>
        <v>-0.39200000000000002</v>
      </c>
      <c r="P105" s="480">
        <f>(IF(Effektmåling!$Q$241="Ja",-0.3*'DB materialer'!D45+G105,G105))-E105</f>
        <v>-0.30599999999999999</v>
      </c>
      <c r="Q105" s="480">
        <f>(IF(Effektmåling!$Q$241="Ja",1.3*H105,H105))-E105</f>
        <v>-0.30599999999999999</v>
      </c>
      <c r="R105" s="480">
        <f>(IF(Effektmåling!$Q$241="Ja",-0.3*'DB materialer'!D45+G105,G105))-F105</f>
        <v>8.6000000000000021E-2</v>
      </c>
      <c r="S105" s="480">
        <f>(IF(Effektmåling!$Q$241="Ja",1.3*H105,H105))-F105</f>
        <v>8.6000000000000021E-2</v>
      </c>
      <c r="T105" s="480">
        <f>(IF(Effektmåling!$Q$241="Ja",1.3*H105,H105))-(IF(Effektmåling!$Q$241="Ja",-0.3*'DB materialer'!D45+G105,G105))</f>
        <v>0</v>
      </c>
      <c r="AE105" s="474">
        <f t="shared" si="76"/>
        <v>39</v>
      </c>
      <c r="AF105" s="29" t="str">
        <f>IF((SUMIFS(Effektmåling!$J$178:$J$182,Effektmåling!$D$178:$D$182,$B105,$AH$120:$AH$124,'DB materialer'!AF$3))&lt;&gt;0,(SUMIFS(Effektmåling!$J$178:$J$182,Effektmåling!$D$178:$D$182,$B105,$AH$120:$AH$124,'DB materialer'!AF$3))*-O105,"")</f>
        <v/>
      </c>
      <c r="AG105" s="29" t="str">
        <f>IF((SUMIFS(Effektmåling!$J$178:$J$182,Effektmåling!$D$178:$D$182,$B105,$AH$120:$AH$124,'DB materialer'!AG$3))&lt;&gt;0,(SUMIFS(Effektmåling!$J$178:$J$182,Effektmåling!$D$178:$D$182,$B105,$AH$120:$AH$124,'DB materialer'!AG$3))*-P105,"")</f>
        <v/>
      </c>
      <c r="AH105" s="29" t="str">
        <f>IF((SUMIFS(Effektmåling!$J$178:$J$182,Effektmåling!$D$178:$D$182,$B105,$AH$120:$AH$124,'DB materialer'!AH$3))&lt;&gt;0,(SUMIFS(Effektmåling!$J$178:$J$182,Effektmåling!$D$178:$D$182,$B105,$AH$120:$AH$124,'DB materialer'!AH$3))*-Q105,"")</f>
        <v/>
      </c>
      <c r="AI105" s="29" t="str">
        <f>IF((SUMIFS(Effektmåling!$J$178:$J$182,Effektmåling!$D$178:$D$182,$B105,$AH$120:$AH$124,'DB materialer'!AI$3))&lt;&gt;0,(SUMIFS(Effektmåling!$J$178:$J$182,Effektmåling!$D$178:$D$182,$B105,$AH$120:$AH$124,'DB materialer'!AI$3))*-R105,"")</f>
        <v/>
      </c>
      <c r="AJ105" s="29" t="str">
        <f>IF((SUMIFS(Effektmåling!$J$178:$J$182,Effektmåling!$D$178:$D$182,$B105,$AH$120:$AH$124,'DB materialer'!AJ$3))&lt;&gt;0,(SUMIFS(Effektmåling!$J$178:$J$182,Effektmåling!$D$178:$D$182,$B105,$AH$120:$AH$124,'DB materialer'!AJ$3))*-S105,"")</f>
        <v/>
      </c>
      <c r="AK105" s="29" t="str">
        <f>IF((SUMIFS(Effektmåling!$J$178:$J$182,Effektmåling!$D$178:$D$182,$B105,$AH$120:$AH$124,'DB materialer'!AK$3))&lt;&gt;0,(SUMIFS(Effektmåling!$J$178:$J$182,Effektmåling!$D$178:$D$182,$B105,$AH$120:$AH$124,'DB materialer'!AK$3))*-T105,"")</f>
        <v/>
      </c>
      <c r="AM105" s="29" t="str">
        <f>IF((SUMIFS(Effektmåling!$J$163:$J$167,Effektmåling!$D$163:$D$167,$B105,$AO$120:$AO$124,'DB materialer'!AM$3))&lt;&gt;0,(SUMIFS(Effektmåling!$J$163:$J$167,Effektmåling!$D$163:$D$167,$B105,$AO$120:$AO$124,'DB materialer'!AM$3))*(-O105)*($C$122),"")</f>
        <v/>
      </c>
      <c r="AN105" s="29" t="str">
        <f>IF((SUMIFS(Effektmåling!$J$163:$J$167,Effektmåling!$D$163:$D$167,$B105,$AO$120:$AO$124,'DB materialer'!AN$3))&lt;&gt;0,(SUMIFS(Effektmåling!$J$163:$J$167,Effektmåling!$D$163:$D$167,$B105,$AO$120:$AO$124,'DB materialer'!AN$3))*(-P105)*($C$122),"")</f>
        <v/>
      </c>
      <c r="AO105" s="29" t="str">
        <f>IF((SUMIFS(Effektmåling!$J$163:$J$167,Effektmåling!$D$163:$D$167,$B105,$AO$120:$AO$124,'DB materialer'!AO$3))&lt;&gt;0,(SUMIFS(Effektmåling!$J$163:$J$167,Effektmåling!$D$163:$D$167,$B105,$AO$120:$AO$124,'DB materialer'!AO$3))*(-Q105)*($C$122),"")</f>
        <v/>
      </c>
      <c r="AP105" s="29" t="str">
        <f>IF((SUMIFS(Effektmåling!$J$163:$J$167,Effektmåling!$D$163:$D$167,$B105,$AO$120:$AO$124,'DB materialer'!AP$3))&lt;&gt;0,(SUMIFS(Effektmåling!$J$163:$J$167,Effektmåling!$D$163:$D$167,$B105,$AO$120:$AO$124,'DB materialer'!AP$3))*(-R105)*($C$122),"")</f>
        <v/>
      </c>
      <c r="AQ105" s="29" t="str">
        <f>IF((SUMIFS(Effektmåling!$J$163:$J$167,Effektmåling!$D$163:$D$167,$B105,$AO$120:$AO$124,'DB materialer'!AQ$3))&lt;&gt;0,(SUMIFS(Effektmåling!$J$163:$J$167,Effektmåling!$D$163:$D$167,$B105,$AO$120:$AO$124,'DB materialer'!AQ$3))*(-S105)*($C$122),"")</f>
        <v/>
      </c>
      <c r="AR105" s="29" t="str">
        <f>IF((SUMIFS(Effektmåling!$J$163:$J$167,Effektmåling!$D$163:$D$167,$B105,$AO$120:$AO$124,'DB materialer'!AR$3))&lt;&gt;0,(SUMIFS(Effektmåling!$J$163:$J$167,Effektmåling!$D$163:$D$167,$B105,$AO$120:$AO$124,'DB materialer'!AR$3))*(-T105)*($C$122),"")</f>
        <v/>
      </c>
      <c r="AT105" s="30">
        <f t="shared" si="102"/>
        <v>-4.0031453199988185</v>
      </c>
      <c r="AU105" s="40">
        <f t="shared" si="103"/>
        <v>1.0000000000000001E-30</v>
      </c>
      <c r="AV105" s="41">
        <f t="shared" si="104"/>
        <v>1.0000000000000001E-30</v>
      </c>
      <c r="AW105" s="40">
        <f t="shared" si="105"/>
        <v>4.0031453199988185</v>
      </c>
      <c r="AX105" s="41">
        <f t="shared" si="106"/>
        <v>4.0031453199988185</v>
      </c>
      <c r="AY105" s="41">
        <f t="shared" si="107"/>
        <v>1.0000000000000001E-30</v>
      </c>
      <c r="BA105" s="29" t="str">
        <f>IF((SUMIFS(Effektmåling!$J$178:$J$182,Effektmåling!$D$178:$D$182,$B105,$AH$120:$AH$124,BA$3))&lt;&gt;0,(SUMIFS(Effektmåling!$J$178:$J$182,Effektmåling!$D$178:$D$182,$B105,$AH$120:$AH$124,BA$3))*-AT105,"")</f>
        <v/>
      </c>
      <c r="BB105" s="29" t="str">
        <f>IF((SUMIFS(Effektmåling!$J$178:$J$182,Effektmåling!$D$178:$D$182,$B105,$AH$120:$AH$124,BB$3))&lt;&gt;0,(SUMIFS(Effektmåling!$J$178:$J$182,Effektmåling!$D$178:$D$182,$B105,$AH$120:$AH$124,BB$3))*-AU105,"")</f>
        <v/>
      </c>
      <c r="BC105" s="29" t="str">
        <f>IF((SUMIFS(Effektmåling!$J$178:$J$182,Effektmåling!$D$178:$D$182,$B105,$AH$120:$AH$124,BC$3))&lt;&gt;0,(SUMIFS(Effektmåling!$J$178:$J$182,Effektmåling!$D$178:$D$182,$B105,$AH$120:$AH$124,BC$3))*-AV105,"")</f>
        <v/>
      </c>
      <c r="BD105" s="29" t="str">
        <f>IF((SUMIFS(Effektmåling!$J$178:$J$182,Effektmåling!$D$178:$D$182,$B105,$AH$120:$AH$124,BD$3))&lt;&gt;0,(SUMIFS(Effektmåling!$J$178:$J$182,Effektmåling!$D$178:$D$182,$B105,$AH$120:$AH$124,BD$3))*-AW105,"")</f>
        <v/>
      </c>
      <c r="BE105" s="29" t="str">
        <f>IF((SUMIFS(Effektmåling!$J$178:$J$182,Effektmåling!$D$178:$D$182,$B105,$AH$120:$AH$124,BE$3))&lt;&gt;0,(SUMIFS(Effektmåling!$J$178:$J$182,Effektmåling!$D$178:$D$182,$B105,$AH$120:$AH$124,BE$3))*-AX105,"")</f>
        <v/>
      </c>
      <c r="BF105" s="29" t="str">
        <f>IF((SUMIFS(Effektmåling!$J$178:$J$182,Effektmåling!$D$178:$D$182,$B105,$AH$120:$AH$124,BF$3))&lt;&gt;0,(SUMIFS(Effektmåling!$J$178:$J$182,Effektmåling!$D$178:$D$182,$B105,$AH$120:$AH$124,BF$3))*-AY105,"")</f>
        <v/>
      </c>
      <c r="BH105" s="29" t="str">
        <f>IF((SUMIFS(Effektmåling!$J$163:$J$167,Effektmåling!$D$163:$D$167,$B105,$AO$120:$AO$124,BH$3))&lt;&gt;0,(SUMIFS(Effektmåling!$J$163:$J$167,Effektmåling!$D$163:$D$167,$B105,$AO$120:$AO$124,BH$3))*-AT105,"")</f>
        <v/>
      </c>
      <c r="BI105" s="29" t="str">
        <f>IF((SUMIFS(Effektmåling!$J$163:$J$167,Effektmåling!$D$163:$D$167,$B105,$AO$120:$AO$124,BI$3))&lt;&gt;0,(SUMIFS(Effektmåling!$J$163:$J$167,Effektmåling!$D$163:$D$167,$B105,$AO$120:$AO$124,BI$3))*-AU105,"")</f>
        <v/>
      </c>
      <c r="BJ105" s="29" t="str">
        <f>IF((SUMIFS(Effektmåling!$J$163:$J$167,Effektmåling!$D$163:$D$167,$B105,$AO$120:$AO$124,BJ$3))&lt;&gt;0,(SUMIFS(Effektmåling!$J$163:$J$167,Effektmåling!$D$163:$D$167,$B105,$AO$120:$AO$124,BJ$3))*-AV105,"")</f>
        <v/>
      </c>
      <c r="BK105" s="29" t="str">
        <f>IF((SUMIFS(Effektmåling!$J$163:$J$167,Effektmåling!$D$163:$D$167,$B105,$AO$120:$AO$124,BK$3))&lt;&gt;0,(SUMIFS(Effektmåling!$J$163:$J$167,Effektmåling!$D$163:$D$167,$B105,$AO$120:$AO$124,BK$3))*-AW105,"")</f>
        <v/>
      </c>
      <c r="BL105" s="29" t="str">
        <f>IF((SUMIFS(Effektmåling!$J$163:$J$167,Effektmåling!$D$163:$D$167,$B105,$AO$120:$AO$124,BL$3))&lt;&gt;0,(SUMIFS(Effektmåling!$J$163:$J$167,Effektmåling!$D$163:$D$167,$B105,$AO$120:$AO$124,BL$3))*-AX105,"")</f>
        <v/>
      </c>
      <c r="BM105" s="29" t="str">
        <f>IF((SUMIFS(Effektmåling!$J$163:$J$167,Effektmåling!$D$163:$D$167,$B105,$AO$120:$AO$124,BM$3))&lt;&gt;0,(SUMIFS(Effektmåling!$J$163:$J$167,Effektmåling!$D$163:$D$167,$B105,$AO$120:$AO$124,BM$3))*-AY105,"")</f>
        <v/>
      </c>
    </row>
    <row r="106" spans="1:65" x14ac:dyDescent="0.15">
      <c r="A106" s="474">
        <f t="shared" si="75"/>
        <v>42</v>
      </c>
      <c r="B106" s="19" t="s">
        <v>287</v>
      </c>
      <c r="C106" s="19">
        <v>1</v>
      </c>
      <c r="D106" s="57">
        <v>0</v>
      </c>
      <c r="E106" s="57">
        <v>0</v>
      </c>
      <c r="F106" s="57">
        <v>-0.39200000000000002</v>
      </c>
      <c r="G106" s="112">
        <v>-0.86599999999999999</v>
      </c>
      <c r="H106" s="27">
        <f t="shared" si="100"/>
        <v>-0.86599999999999999</v>
      </c>
      <c r="I106" s="57">
        <v>0</v>
      </c>
      <c r="J106" s="57">
        <v>0</v>
      </c>
      <c r="K106" s="113">
        <v>-4.0031453199988185</v>
      </c>
      <c r="L106" s="74">
        <v>0</v>
      </c>
      <c r="M106" s="74">
        <v>0</v>
      </c>
      <c r="O106" s="40">
        <f t="shared" si="101"/>
        <v>-0.39200000000000002</v>
      </c>
      <c r="P106" s="480">
        <f>(IF(Effektmåling!$Q$241="Ja",-0.3*'DB materialer'!D46+G106,G106))-E106</f>
        <v>-0.86599999999999999</v>
      </c>
      <c r="Q106" s="480">
        <f>(IF(Effektmåling!$Q$241="Ja",1.3*H106,H106))-E106</f>
        <v>-0.86599999999999999</v>
      </c>
      <c r="R106" s="480">
        <f>(IF(Effektmåling!$Q$241="Ja",-0.3*'DB materialer'!D46+G106,G106))-F106</f>
        <v>-0.47399999999999998</v>
      </c>
      <c r="S106" s="480">
        <f>(IF(Effektmåling!$Q$241="Ja",1.3*H106,H106))-F106</f>
        <v>-0.47399999999999998</v>
      </c>
      <c r="T106" s="480">
        <f>(IF(Effektmåling!$Q$241="Ja",1.3*H106,H106))-(IF(Effektmåling!$Q$241="Ja",-0.3*'DB materialer'!D46+G106,G106))</f>
        <v>0</v>
      </c>
      <c r="AE106" s="474">
        <f t="shared" si="76"/>
        <v>40</v>
      </c>
      <c r="AF106" s="29" t="str">
        <f>IF((SUMIFS(Effektmåling!$J$178:$J$182,Effektmåling!$D$178:$D$182,$B106,$AH$120:$AH$124,'DB materialer'!AF$3))&lt;&gt;0,(SUMIFS(Effektmåling!$J$178:$J$182,Effektmåling!$D$178:$D$182,$B106,$AH$120:$AH$124,'DB materialer'!AF$3))*-O106,"")</f>
        <v/>
      </c>
      <c r="AG106" s="29" t="str">
        <f>IF((SUMIFS(Effektmåling!$J$178:$J$182,Effektmåling!$D$178:$D$182,$B106,$AH$120:$AH$124,'DB materialer'!AG$3))&lt;&gt;0,(SUMIFS(Effektmåling!$J$178:$J$182,Effektmåling!$D$178:$D$182,$B106,$AH$120:$AH$124,'DB materialer'!AG$3))*-P106,"")</f>
        <v/>
      </c>
      <c r="AH106" s="29" t="str">
        <f>IF((SUMIFS(Effektmåling!$J$178:$J$182,Effektmåling!$D$178:$D$182,$B106,$AH$120:$AH$124,'DB materialer'!AH$3))&lt;&gt;0,(SUMIFS(Effektmåling!$J$178:$J$182,Effektmåling!$D$178:$D$182,$B106,$AH$120:$AH$124,'DB materialer'!AH$3))*-Q106,"")</f>
        <v/>
      </c>
      <c r="AI106" s="29" t="str">
        <f>IF((SUMIFS(Effektmåling!$J$178:$J$182,Effektmåling!$D$178:$D$182,$B106,$AH$120:$AH$124,'DB materialer'!AI$3))&lt;&gt;0,(SUMIFS(Effektmåling!$J$178:$J$182,Effektmåling!$D$178:$D$182,$B106,$AH$120:$AH$124,'DB materialer'!AI$3))*-R106,"")</f>
        <v/>
      </c>
      <c r="AJ106" s="29" t="str">
        <f>IF((SUMIFS(Effektmåling!$J$178:$J$182,Effektmåling!$D$178:$D$182,$B106,$AH$120:$AH$124,'DB materialer'!AJ$3))&lt;&gt;0,(SUMIFS(Effektmåling!$J$178:$J$182,Effektmåling!$D$178:$D$182,$B106,$AH$120:$AH$124,'DB materialer'!AJ$3))*-S106,"")</f>
        <v/>
      </c>
      <c r="AK106" s="29" t="str">
        <f>IF((SUMIFS(Effektmåling!$J$178:$J$182,Effektmåling!$D$178:$D$182,$B106,$AH$120:$AH$124,'DB materialer'!AK$3))&lt;&gt;0,(SUMIFS(Effektmåling!$J$178:$J$182,Effektmåling!$D$178:$D$182,$B106,$AH$120:$AH$124,'DB materialer'!AK$3))*-T106,"")</f>
        <v/>
      </c>
      <c r="AM106" s="29" t="str">
        <f>IF((SUMIFS(Effektmåling!$J$163:$J$167,Effektmåling!$D$163:$D$167,$B106,$AO$120:$AO$124,'DB materialer'!AM$3))&lt;&gt;0,(SUMIFS(Effektmåling!$J$163:$J$167,Effektmåling!$D$163:$D$167,$B106,$AO$120:$AO$124,'DB materialer'!AM$3))*(-O106)*($C$122),"")</f>
        <v/>
      </c>
      <c r="AN106" s="29" t="str">
        <f>IF((SUMIFS(Effektmåling!$J$163:$J$167,Effektmåling!$D$163:$D$167,$B106,$AO$120:$AO$124,'DB materialer'!AN$3))&lt;&gt;0,(SUMIFS(Effektmåling!$J$163:$J$167,Effektmåling!$D$163:$D$167,$B106,$AO$120:$AO$124,'DB materialer'!AN$3))*(-P106)*($C$122),"")</f>
        <v/>
      </c>
      <c r="AO106" s="29" t="str">
        <f>IF((SUMIFS(Effektmåling!$J$163:$J$167,Effektmåling!$D$163:$D$167,$B106,$AO$120:$AO$124,'DB materialer'!AO$3))&lt;&gt;0,(SUMIFS(Effektmåling!$J$163:$J$167,Effektmåling!$D$163:$D$167,$B106,$AO$120:$AO$124,'DB materialer'!AO$3))*(-Q106)*($C$122),"")</f>
        <v/>
      </c>
      <c r="AP106" s="29" t="str">
        <f>IF((SUMIFS(Effektmåling!$J$163:$J$167,Effektmåling!$D$163:$D$167,$B106,$AO$120:$AO$124,'DB materialer'!AP$3))&lt;&gt;0,(SUMIFS(Effektmåling!$J$163:$J$167,Effektmåling!$D$163:$D$167,$B106,$AO$120:$AO$124,'DB materialer'!AP$3))*(-R106)*($C$122),"")</f>
        <v/>
      </c>
      <c r="AQ106" s="29" t="str">
        <f>IF((SUMIFS(Effektmåling!$J$163:$J$167,Effektmåling!$D$163:$D$167,$B106,$AO$120:$AO$124,'DB materialer'!AQ$3))&lt;&gt;0,(SUMIFS(Effektmåling!$J$163:$J$167,Effektmåling!$D$163:$D$167,$B106,$AO$120:$AO$124,'DB materialer'!AQ$3))*(-S106)*($C$122),"")</f>
        <v/>
      </c>
      <c r="AR106" s="29" t="str">
        <f>IF((SUMIFS(Effektmåling!$J$163:$J$167,Effektmåling!$D$163:$D$167,$B106,$AO$120:$AO$124,'DB materialer'!AR$3))&lt;&gt;0,(SUMIFS(Effektmåling!$J$163:$J$167,Effektmåling!$D$163:$D$167,$B106,$AO$120:$AO$124,'DB materialer'!AR$3))*(-T106)*($C$122),"")</f>
        <v/>
      </c>
      <c r="AT106" s="30">
        <f t="shared" si="102"/>
        <v>-4.0031453199988185</v>
      </c>
      <c r="AU106" s="40">
        <f t="shared" si="103"/>
        <v>1.0000000000000001E-30</v>
      </c>
      <c r="AV106" s="41">
        <f t="shared" si="104"/>
        <v>1.0000000000000001E-30</v>
      </c>
      <c r="AW106" s="40">
        <f t="shared" si="105"/>
        <v>4.0031453199988185</v>
      </c>
      <c r="AX106" s="41">
        <f t="shared" si="106"/>
        <v>4.0031453199988185</v>
      </c>
      <c r="AY106" s="41">
        <f t="shared" si="107"/>
        <v>1.0000000000000001E-30</v>
      </c>
      <c r="BA106" s="29" t="str">
        <f>IF((SUMIFS(Effektmåling!$J$178:$J$182,Effektmåling!$D$178:$D$182,$B106,$AH$120:$AH$124,BA$3))&lt;&gt;0,(SUMIFS(Effektmåling!$J$178:$J$182,Effektmåling!$D$178:$D$182,$B106,$AH$120:$AH$124,BA$3))*-AT106,"")</f>
        <v/>
      </c>
      <c r="BB106" s="29" t="str">
        <f>IF((SUMIFS(Effektmåling!$J$178:$J$182,Effektmåling!$D$178:$D$182,$B106,$AH$120:$AH$124,BB$3))&lt;&gt;0,(SUMIFS(Effektmåling!$J$178:$J$182,Effektmåling!$D$178:$D$182,$B106,$AH$120:$AH$124,BB$3))*-AU106,"")</f>
        <v/>
      </c>
      <c r="BC106" s="29" t="str">
        <f>IF((SUMIFS(Effektmåling!$J$178:$J$182,Effektmåling!$D$178:$D$182,$B106,$AH$120:$AH$124,BC$3))&lt;&gt;0,(SUMIFS(Effektmåling!$J$178:$J$182,Effektmåling!$D$178:$D$182,$B106,$AH$120:$AH$124,BC$3))*-AV106,"")</f>
        <v/>
      </c>
      <c r="BD106" s="29" t="str">
        <f>IF((SUMIFS(Effektmåling!$J$178:$J$182,Effektmåling!$D$178:$D$182,$B106,$AH$120:$AH$124,BD$3))&lt;&gt;0,(SUMIFS(Effektmåling!$J$178:$J$182,Effektmåling!$D$178:$D$182,$B106,$AH$120:$AH$124,BD$3))*-AW106,"")</f>
        <v/>
      </c>
      <c r="BE106" s="29" t="str">
        <f>IF((SUMIFS(Effektmåling!$J$178:$J$182,Effektmåling!$D$178:$D$182,$B106,$AH$120:$AH$124,BE$3))&lt;&gt;0,(SUMIFS(Effektmåling!$J$178:$J$182,Effektmåling!$D$178:$D$182,$B106,$AH$120:$AH$124,BE$3))*-AX106,"")</f>
        <v/>
      </c>
      <c r="BF106" s="29" t="str">
        <f>IF((SUMIFS(Effektmåling!$J$178:$J$182,Effektmåling!$D$178:$D$182,$B106,$AH$120:$AH$124,BF$3))&lt;&gt;0,(SUMIFS(Effektmåling!$J$178:$J$182,Effektmåling!$D$178:$D$182,$B106,$AH$120:$AH$124,BF$3))*-AY106,"")</f>
        <v/>
      </c>
      <c r="BH106" s="29" t="str">
        <f>IF((SUMIFS(Effektmåling!$J$163:$J$167,Effektmåling!$D$163:$D$167,$B106,$AO$120:$AO$124,BH$3))&lt;&gt;0,(SUMIFS(Effektmåling!$J$163:$J$167,Effektmåling!$D$163:$D$167,$B106,$AO$120:$AO$124,BH$3))*-AT106,"")</f>
        <v/>
      </c>
      <c r="BI106" s="29" t="str">
        <f>IF((SUMIFS(Effektmåling!$J$163:$J$167,Effektmåling!$D$163:$D$167,$B106,$AO$120:$AO$124,BI$3))&lt;&gt;0,(SUMIFS(Effektmåling!$J$163:$J$167,Effektmåling!$D$163:$D$167,$B106,$AO$120:$AO$124,BI$3))*-AU106,"")</f>
        <v/>
      </c>
      <c r="BJ106" s="29" t="str">
        <f>IF((SUMIFS(Effektmåling!$J$163:$J$167,Effektmåling!$D$163:$D$167,$B106,$AO$120:$AO$124,BJ$3))&lt;&gt;0,(SUMIFS(Effektmåling!$J$163:$J$167,Effektmåling!$D$163:$D$167,$B106,$AO$120:$AO$124,BJ$3))*-AV106,"")</f>
        <v/>
      </c>
      <c r="BK106" s="29" t="str">
        <f>IF((SUMIFS(Effektmåling!$J$163:$J$167,Effektmåling!$D$163:$D$167,$B106,$AO$120:$AO$124,BK$3))&lt;&gt;0,(SUMIFS(Effektmåling!$J$163:$J$167,Effektmåling!$D$163:$D$167,$B106,$AO$120:$AO$124,BK$3))*-AW106,"")</f>
        <v/>
      </c>
      <c r="BL106" s="29" t="str">
        <f>IF((SUMIFS(Effektmåling!$J$163:$J$167,Effektmåling!$D$163:$D$167,$B106,$AO$120:$AO$124,BL$3))&lt;&gt;0,(SUMIFS(Effektmåling!$J$163:$J$167,Effektmåling!$D$163:$D$167,$B106,$AO$120:$AO$124,BL$3))*-AX106,"")</f>
        <v/>
      </c>
      <c r="BM106" s="29" t="str">
        <f>IF((SUMIFS(Effektmåling!$J$163:$J$167,Effektmåling!$D$163:$D$167,$B106,$AO$120:$AO$124,BM$3))&lt;&gt;0,(SUMIFS(Effektmåling!$J$163:$J$167,Effektmåling!$D$163:$D$167,$B106,$AO$120:$AO$124,BM$3))*-AY106,"")</f>
        <v/>
      </c>
    </row>
    <row r="107" spans="1:65" x14ac:dyDescent="0.15">
      <c r="A107" s="474">
        <f t="shared" si="75"/>
        <v>43</v>
      </c>
      <c r="B107" s="19" t="s">
        <v>288</v>
      </c>
      <c r="C107" s="19">
        <v>1</v>
      </c>
      <c r="D107" s="57">
        <v>0</v>
      </c>
      <c r="E107" s="57">
        <v>0</v>
      </c>
      <c r="F107" s="57">
        <v>-0.39200000000000002</v>
      </c>
      <c r="G107" s="112">
        <v>-5.4</v>
      </c>
      <c r="H107" s="27">
        <f t="shared" si="100"/>
        <v>-5.4</v>
      </c>
      <c r="I107" s="57">
        <v>0</v>
      </c>
      <c r="J107" s="57">
        <v>0</v>
      </c>
      <c r="K107" s="113">
        <v>-4.0031453199988185</v>
      </c>
      <c r="L107" s="74">
        <v>0</v>
      </c>
      <c r="M107" s="74">
        <v>0</v>
      </c>
      <c r="O107" s="40">
        <f t="shared" si="101"/>
        <v>-0.39200000000000002</v>
      </c>
      <c r="P107" s="480">
        <f>(IF(Effektmåling!$Q$241="Ja",-0.3*'DB materialer'!D47+G107,G107))-E107</f>
        <v>-5.4</v>
      </c>
      <c r="Q107" s="480">
        <f>(IF(Effektmåling!$Q$241="Ja",1.3*H107,H107))-E107</f>
        <v>-5.4</v>
      </c>
      <c r="R107" s="480">
        <f>(IF(Effektmåling!$Q$241="Ja",-0.3*'DB materialer'!D47+G107,G107))-F107</f>
        <v>-5.008</v>
      </c>
      <c r="S107" s="480">
        <f>(IF(Effektmåling!$Q$241="Ja",1.3*H107,H107))-F107</f>
        <v>-5.008</v>
      </c>
      <c r="T107" s="480">
        <f>(IF(Effektmåling!$Q$241="Ja",1.3*H107,H107))-(IF(Effektmåling!$Q$241="Ja",-0.3*'DB materialer'!D47+G107,G107))</f>
        <v>0</v>
      </c>
      <c r="AE107" s="474">
        <f t="shared" si="76"/>
        <v>41</v>
      </c>
      <c r="AF107" s="29" t="str">
        <f>IF((SUMIFS(Effektmåling!$J$178:$J$182,Effektmåling!$D$178:$D$182,$B107,$AH$120:$AH$124,'DB materialer'!AF$3))&lt;&gt;0,(SUMIFS(Effektmåling!$J$178:$J$182,Effektmåling!$D$178:$D$182,$B107,$AH$120:$AH$124,'DB materialer'!AF$3))*-O107,"")</f>
        <v/>
      </c>
      <c r="AG107" s="29" t="str">
        <f>IF((SUMIFS(Effektmåling!$J$178:$J$182,Effektmåling!$D$178:$D$182,$B107,$AH$120:$AH$124,'DB materialer'!AG$3))&lt;&gt;0,(SUMIFS(Effektmåling!$J$178:$J$182,Effektmåling!$D$178:$D$182,$B107,$AH$120:$AH$124,'DB materialer'!AG$3))*-P107,"")</f>
        <v/>
      </c>
      <c r="AH107" s="29" t="str">
        <f>IF((SUMIFS(Effektmåling!$J$178:$J$182,Effektmåling!$D$178:$D$182,$B107,$AH$120:$AH$124,'DB materialer'!AH$3))&lt;&gt;0,(SUMIFS(Effektmåling!$J$178:$J$182,Effektmåling!$D$178:$D$182,$B107,$AH$120:$AH$124,'DB materialer'!AH$3))*-Q107,"")</f>
        <v/>
      </c>
      <c r="AI107" s="29" t="str">
        <f>IF((SUMIFS(Effektmåling!$J$178:$J$182,Effektmåling!$D$178:$D$182,$B107,$AH$120:$AH$124,'DB materialer'!AI$3))&lt;&gt;0,(SUMIFS(Effektmåling!$J$178:$J$182,Effektmåling!$D$178:$D$182,$B107,$AH$120:$AH$124,'DB materialer'!AI$3))*-R107,"")</f>
        <v/>
      </c>
      <c r="AJ107" s="29" t="str">
        <f>IF((SUMIFS(Effektmåling!$J$178:$J$182,Effektmåling!$D$178:$D$182,$B107,$AH$120:$AH$124,'DB materialer'!AJ$3))&lt;&gt;0,(SUMIFS(Effektmåling!$J$178:$J$182,Effektmåling!$D$178:$D$182,$B107,$AH$120:$AH$124,'DB materialer'!AJ$3))*-S107,"")</f>
        <v/>
      </c>
      <c r="AK107" s="29" t="str">
        <f>IF((SUMIFS(Effektmåling!$J$178:$J$182,Effektmåling!$D$178:$D$182,$B107,$AH$120:$AH$124,'DB materialer'!AK$3))&lt;&gt;0,(SUMIFS(Effektmåling!$J$178:$J$182,Effektmåling!$D$178:$D$182,$B107,$AH$120:$AH$124,'DB materialer'!AK$3))*-T107,"")</f>
        <v/>
      </c>
      <c r="AM107" s="29" t="str">
        <f>IF((SUMIFS(Effektmåling!$J$163:$J$167,Effektmåling!$D$163:$D$167,$B107,$AO$120:$AO$124,'DB materialer'!AM$3))&lt;&gt;0,(SUMIFS(Effektmåling!$J$163:$J$167,Effektmåling!$D$163:$D$167,$B107,$AO$120:$AO$124,'DB materialer'!AM$3))*(-O107)*($C$122),"")</f>
        <v/>
      </c>
      <c r="AN107" s="29" t="str">
        <f>IF((SUMIFS(Effektmåling!$J$163:$J$167,Effektmåling!$D$163:$D$167,$B107,$AO$120:$AO$124,'DB materialer'!AN$3))&lt;&gt;0,(SUMIFS(Effektmåling!$J$163:$J$167,Effektmåling!$D$163:$D$167,$B107,$AO$120:$AO$124,'DB materialer'!AN$3))*(-P107)*($C$122),"")</f>
        <v/>
      </c>
      <c r="AO107" s="29" t="str">
        <f>IF((SUMIFS(Effektmåling!$J$163:$J$167,Effektmåling!$D$163:$D$167,$B107,$AO$120:$AO$124,'DB materialer'!AO$3))&lt;&gt;0,(SUMIFS(Effektmåling!$J$163:$J$167,Effektmåling!$D$163:$D$167,$B107,$AO$120:$AO$124,'DB materialer'!AO$3))*(-Q107)*($C$122),"")</f>
        <v/>
      </c>
      <c r="AP107" s="29" t="str">
        <f>IF((SUMIFS(Effektmåling!$J$163:$J$167,Effektmåling!$D$163:$D$167,$B107,$AO$120:$AO$124,'DB materialer'!AP$3))&lt;&gt;0,(SUMIFS(Effektmåling!$J$163:$J$167,Effektmåling!$D$163:$D$167,$B107,$AO$120:$AO$124,'DB materialer'!AP$3))*(-R107)*($C$122),"")</f>
        <v/>
      </c>
      <c r="AQ107" s="29" t="str">
        <f>IF((SUMIFS(Effektmåling!$J$163:$J$167,Effektmåling!$D$163:$D$167,$B107,$AO$120:$AO$124,'DB materialer'!AQ$3))&lt;&gt;0,(SUMIFS(Effektmåling!$J$163:$J$167,Effektmåling!$D$163:$D$167,$B107,$AO$120:$AO$124,'DB materialer'!AQ$3))*(-S107)*($C$122),"")</f>
        <v/>
      </c>
      <c r="AR107" s="29" t="str">
        <f>IF((SUMIFS(Effektmåling!$J$163:$J$167,Effektmåling!$D$163:$D$167,$B107,$AO$120:$AO$124,'DB materialer'!AR$3))&lt;&gt;0,(SUMIFS(Effektmåling!$J$163:$J$167,Effektmåling!$D$163:$D$167,$B107,$AO$120:$AO$124,'DB materialer'!AR$3))*(-T107)*($C$122),"")</f>
        <v/>
      </c>
      <c r="AT107" s="30">
        <f t="shared" si="102"/>
        <v>-4.0031453199988185</v>
      </c>
      <c r="AU107" s="40">
        <f t="shared" si="103"/>
        <v>1.0000000000000001E-30</v>
      </c>
      <c r="AV107" s="41">
        <f t="shared" si="104"/>
        <v>1.0000000000000001E-30</v>
      </c>
      <c r="AW107" s="40">
        <f t="shared" si="105"/>
        <v>4.0031453199988185</v>
      </c>
      <c r="AX107" s="41">
        <f t="shared" si="106"/>
        <v>4.0031453199988185</v>
      </c>
      <c r="AY107" s="41">
        <f t="shared" si="107"/>
        <v>1.0000000000000001E-30</v>
      </c>
      <c r="BA107" s="29" t="str">
        <f>IF((SUMIFS(Effektmåling!$J$178:$J$182,Effektmåling!$D$178:$D$182,$B107,$AH$120:$AH$124,BA$3))&lt;&gt;0,(SUMIFS(Effektmåling!$J$178:$J$182,Effektmåling!$D$178:$D$182,$B107,$AH$120:$AH$124,BA$3))*-AT107,"")</f>
        <v/>
      </c>
      <c r="BB107" s="29" t="str">
        <f>IF((SUMIFS(Effektmåling!$J$178:$J$182,Effektmåling!$D$178:$D$182,$B107,$AH$120:$AH$124,BB$3))&lt;&gt;0,(SUMIFS(Effektmåling!$J$178:$J$182,Effektmåling!$D$178:$D$182,$B107,$AH$120:$AH$124,BB$3))*-AU107,"")</f>
        <v/>
      </c>
      <c r="BC107" s="29" t="str">
        <f>IF((SUMIFS(Effektmåling!$J$178:$J$182,Effektmåling!$D$178:$D$182,$B107,$AH$120:$AH$124,BC$3))&lt;&gt;0,(SUMIFS(Effektmåling!$J$178:$J$182,Effektmåling!$D$178:$D$182,$B107,$AH$120:$AH$124,BC$3))*-AV107,"")</f>
        <v/>
      </c>
      <c r="BD107" s="29" t="str">
        <f>IF((SUMIFS(Effektmåling!$J$178:$J$182,Effektmåling!$D$178:$D$182,$B107,$AH$120:$AH$124,BD$3))&lt;&gt;0,(SUMIFS(Effektmåling!$J$178:$J$182,Effektmåling!$D$178:$D$182,$B107,$AH$120:$AH$124,BD$3))*-AW107,"")</f>
        <v/>
      </c>
      <c r="BE107" s="29" t="str">
        <f>IF((SUMIFS(Effektmåling!$J$178:$J$182,Effektmåling!$D$178:$D$182,$B107,$AH$120:$AH$124,BE$3))&lt;&gt;0,(SUMIFS(Effektmåling!$J$178:$J$182,Effektmåling!$D$178:$D$182,$B107,$AH$120:$AH$124,BE$3))*-AX107,"")</f>
        <v/>
      </c>
      <c r="BF107" s="29" t="str">
        <f>IF((SUMIFS(Effektmåling!$J$178:$J$182,Effektmåling!$D$178:$D$182,$B107,$AH$120:$AH$124,BF$3))&lt;&gt;0,(SUMIFS(Effektmåling!$J$178:$J$182,Effektmåling!$D$178:$D$182,$B107,$AH$120:$AH$124,BF$3))*-AY107,"")</f>
        <v/>
      </c>
      <c r="BH107" s="29" t="str">
        <f>IF((SUMIFS(Effektmåling!$J$163:$J$167,Effektmåling!$D$163:$D$167,$B107,$AO$120:$AO$124,BH$3))&lt;&gt;0,(SUMIFS(Effektmåling!$J$163:$J$167,Effektmåling!$D$163:$D$167,$B107,$AO$120:$AO$124,BH$3))*-AT107,"")</f>
        <v/>
      </c>
      <c r="BI107" s="29" t="str">
        <f>IF((SUMIFS(Effektmåling!$J$163:$J$167,Effektmåling!$D$163:$D$167,$B107,$AO$120:$AO$124,BI$3))&lt;&gt;0,(SUMIFS(Effektmåling!$J$163:$J$167,Effektmåling!$D$163:$D$167,$B107,$AO$120:$AO$124,BI$3))*-AU107,"")</f>
        <v/>
      </c>
      <c r="BJ107" s="29" t="str">
        <f>IF((SUMIFS(Effektmåling!$J$163:$J$167,Effektmåling!$D$163:$D$167,$B107,$AO$120:$AO$124,BJ$3))&lt;&gt;0,(SUMIFS(Effektmåling!$J$163:$J$167,Effektmåling!$D$163:$D$167,$B107,$AO$120:$AO$124,BJ$3))*-AV107,"")</f>
        <v/>
      </c>
      <c r="BK107" s="29" t="str">
        <f>IF((SUMIFS(Effektmåling!$J$163:$J$167,Effektmåling!$D$163:$D$167,$B107,$AO$120:$AO$124,BK$3))&lt;&gt;0,(SUMIFS(Effektmåling!$J$163:$J$167,Effektmåling!$D$163:$D$167,$B107,$AO$120:$AO$124,BK$3))*-AW107,"")</f>
        <v/>
      </c>
      <c r="BL107" s="29" t="str">
        <f>IF((SUMIFS(Effektmåling!$J$163:$J$167,Effektmåling!$D$163:$D$167,$B107,$AO$120:$AO$124,BL$3))&lt;&gt;0,(SUMIFS(Effektmåling!$J$163:$J$167,Effektmåling!$D$163:$D$167,$B107,$AO$120:$AO$124,BL$3))*-AX107,"")</f>
        <v/>
      </c>
      <c r="BM107" s="29" t="str">
        <f>IF((SUMIFS(Effektmåling!$J$163:$J$167,Effektmåling!$D$163:$D$167,$B107,$AO$120:$AO$124,BM$3))&lt;&gt;0,(SUMIFS(Effektmåling!$J$163:$J$167,Effektmåling!$D$163:$D$167,$B107,$AO$120:$AO$124,BM$3))*-AY107,"")</f>
        <v/>
      </c>
    </row>
    <row r="108" spans="1:65" x14ac:dyDescent="0.15">
      <c r="A108" s="474">
        <f t="shared" si="75"/>
        <v>44</v>
      </c>
      <c r="B108" s="19" t="s">
        <v>289</v>
      </c>
      <c r="C108" s="19">
        <v>1</v>
      </c>
      <c r="D108" s="57">
        <v>0</v>
      </c>
      <c r="E108" s="57">
        <v>0</v>
      </c>
      <c r="F108" s="57">
        <v>-0.39200000000000002</v>
      </c>
      <c r="G108" s="112">
        <v>-21.85</v>
      </c>
      <c r="H108" s="27">
        <f t="shared" si="100"/>
        <v>-21.85</v>
      </c>
      <c r="I108" s="57">
        <v>0</v>
      </c>
      <c r="J108" s="57">
        <v>0</v>
      </c>
      <c r="K108" s="113">
        <v>-4.0031453199988185</v>
      </c>
      <c r="L108" s="74">
        <v>0</v>
      </c>
      <c r="M108" s="74">
        <v>0</v>
      </c>
      <c r="O108" s="40">
        <f t="shared" si="101"/>
        <v>-0.39200000000000002</v>
      </c>
      <c r="P108" s="480">
        <f>(IF(Effektmåling!$Q$241="Ja",-0.3*'DB materialer'!D48+G108,G108))-E108</f>
        <v>-21.85</v>
      </c>
      <c r="Q108" s="480">
        <f>(IF(Effektmåling!$Q$241="Ja",1.3*H108,H108))-E108</f>
        <v>-21.85</v>
      </c>
      <c r="R108" s="480">
        <f>(IF(Effektmåling!$Q$241="Ja",-0.3*'DB materialer'!D48+G108,G108))-F108</f>
        <v>-21.458000000000002</v>
      </c>
      <c r="S108" s="480">
        <f>(IF(Effektmåling!$Q$241="Ja",1.3*H108,H108))-F108</f>
        <v>-21.458000000000002</v>
      </c>
      <c r="T108" s="480">
        <f>(IF(Effektmåling!$Q$241="Ja",1.3*H108,H108))-(IF(Effektmåling!$Q$241="Ja",-0.3*'DB materialer'!D48+G108,G108))</f>
        <v>0</v>
      </c>
      <c r="AE108" s="474">
        <f t="shared" si="76"/>
        <v>42</v>
      </c>
      <c r="AF108" s="29" t="str">
        <f>IF((SUMIFS(Effektmåling!$J$178:$J$182,Effektmåling!$D$178:$D$182,$B108,$AH$120:$AH$124,'DB materialer'!AF$3))&lt;&gt;0,(SUMIFS(Effektmåling!$J$178:$J$182,Effektmåling!$D$178:$D$182,$B108,$AH$120:$AH$124,'DB materialer'!AF$3))*-O108,"")</f>
        <v/>
      </c>
      <c r="AG108" s="29" t="str">
        <f>IF((SUMIFS(Effektmåling!$J$178:$J$182,Effektmåling!$D$178:$D$182,$B108,$AH$120:$AH$124,'DB materialer'!AG$3))&lt;&gt;0,(SUMIFS(Effektmåling!$J$178:$J$182,Effektmåling!$D$178:$D$182,$B108,$AH$120:$AH$124,'DB materialer'!AG$3))*-P108,"")</f>
        <v/>
      </c>
      <c r="AH108" s="29" t="str">
        <f>IF((SUMIFS(Effektmåling!$J$178:$J$182,Effektmåling!$D$178:$D$182,$B108,$AH$120:$AH$124,'DB materialer'!AH$3))&lt;&gt;0,(SUMIFS(Effektmåling!$J$178:$J$182,Effektmåling!$D$178:$D$182,$B108,$AH$120:$AH$124,'DB materialer'!AH$3))*-Q108,"")</f>
        <v/>
      </c>
      <c r="AI108" s="29" t="str">
        <f>IF((SUMIFS(Effektmåling!$J$178:$J$182,Effektmåling!$D$178:$D$182,$B108,$AH$120:$AH$124,'DB materialer'!AI$3))&lt;&gt;0,(SUMIFS(Effektmåling!$J$178:$J$182,Effektmåling!$D$178:$D$182,$B108,$AH$120:$AH$124,'DB materialer'!AI$3))*-R108,"")</f>
        <v/>
      </c>
      <c r="AJ108" s="29" t="str">
        <f>IF((SUMIFS(Effektmåling!$J$178:$J$182,Effektmåling!$D$178:$D$182,$B108,$AH$120:$AH$124,'DB materialer'!AJ$3))&lt;&gt;0,(SUMIFS(Effektmåling!$J$178:$J$182,Effektmåling!$D$178:$D$182,$B108,$AH$120:$AH$124,'DB materialer'!AJ$3))*-S108,"")</f>
        <v/>
      </c>
      <c r="AK108" s="29" t="str">
        <f>IF((SUMIFS(Effektmåling!$J$178:$J$182,Effektmåling!$D$178:$D$182,$B108,$AH$120:$AH$124,'DB materialer'!AK$3))&lt;&gt;0,(SUMIFS(Effektmåling!$J$178:$J$182,Effektmåling!$D$178:$D$182,$B108,$AH$120:$AH$124,'DB materialer'!AK$3))*-T108,"")</f>
        <v/>
      </c>
      <c r="AM108" s="29" t="str">
        <f>IF((SUMIFS(Effektmåling!$J$163:$J$167,Effektmåling!$D$163:$D$167,$B108,$AO$120:$AO$124,'DB materialer'!AM$3))&lt;&gt;0,(SUMIFS(Effektmåling!$J$163:$J$167,Effektmåling!$D$163:$D$167,$B108,$AO$120:$AO$124,'DB materialer'!AM$3))*(-O108)*($C$122),"")</f>
        <v/>
      </c>
      <c r="AN108" s="29" t="str">
        <f>IF((SUMIFS(Effektmåling!$J$163:$J$167,Effektmåling!$D$163:$D$167,$B108,$AO$120:$AO$124,'DB materialer'!AN$3))&lt;&gt;0,(SUMIFS(Effektmåling!$J$163:$J$167,Effektmåling!$D$163:$D$167,$B108,$AO$120:$AO$124,'DB materialer'!AN$3))*(-P108)*($C$122),"")</f>
        <v/>
      </c>
      <c r="AO108" s="29" t="str">
        <f>IF((SUMIFS(Effektmåling!$J$163:$J$167,Effektmåling!$D$163:$D$167,$B108,$AO$120:$AO$124,'DB materialer'!AO$3))&lt;&gt;0,(SUMIFS(Effektmåling!$J$163:$J$167,Effektmåling!$D$163:$D$167,$B108,$AO$120:$AO$124,'DB materialer'!AO$3))*(-Q108)*($C$122),"")</f>
        <v/>
      </c>
      <c r="AP108" s="29" t="str">
        <f>IF((SUMIFS(Effektmåling!$J$163:$J$167,Effektmåling!$D$163:$D$167,$B108,$AO$120:$AO$124,'DB materialer'!AP$3))&lt;&gt;0,(SUMIFS(Effektmåling!$J$163:$J$167,Effektmåling!$D$163:$D$167,$B108,$AO$120:$AO$124,'DB materialer'!AP$3))*(-R108)*($C$122),"")</f>
        <v/>
      </c>
      <c r="AQ108" s="29" t="str">
        <f>IF((SUMIFS(Effektmåling!$J$163:$J$167,Effektmåling!$D$163:$D$167,$B108,$AO$120:$AO$124,'DB materialer'!AQ$3))&lt;&gt;0,(SUMIFS(Effektmåling!$J$163:$J$167,Effektmåling!$D$163:$D$167,$B108,$AO$120:$AO$124,'DB materialer'!AQ$3))*(-S108)*($C$122),"")</f>
        <v/>
      </c>
      <c r="AR108" s="29" t="str">
        <f>IF((SUMIFS(Effektmåling!$J$163:$J$167,Effektmåling!$D$163:$D$167,$B108,$AO$120:$AO$124,'DB materialer'!AR$3))&lt;&gt;0,(SUMIFS(Effektmåling!$J$163:$J$167,Effektmåling!$D$163:$D$167,$B108,$AO$120:$AO$124,'DB materialer'!AR$3))*(-T108)*($C$122),"")</f>
        <v/>
      </c>
      <c r="AT108" s="30">
        <f t="shared" si="102"/>
        <v>-4.0031453199988185</v>
      </c>
      <c r="AU108" s="40">
        <f t="shared" si="103"/>
        <v>1.0000000000000001E-30</v>
      </c>
      <c r="AV108" s="41">
        <f t="shared" si="104"/>
        <v>1.0000000000000001E-30</v>
      </c>
      <c r="AW108" s="40">
        <f t="shared" si="105"/>
        <v>4.0031453199988185</v>
      </c>
      <c r="AX108" s="41">
        <f t="shared" si="106"/>
        <v>4.0031453199988185</v>
      </c>
      <c r="AY108" s="41">
        <f t="shared" si="107"/>
        <v>1.0000000000000001E-30</v>
      </c>
      <c r="BA108" s="29" t="str">
        <f>IF((SUMIFS(Effektmåling!$J$178:$J$182,Effektmåling!$D$178:$D$182,$B108,$AH$120:$AH$124,BA$3))&lt;&gt;0,(SUMIFS(Effektmåling!$J$178:$J$182,Effektmåling!$D$178:$D$182,$B108,$AH$120:$AH$124,BA$3))*-AT108,"")</f>
        <v/>
      </c>
      <c r="BB108" s="29" t="str">
        <f>IF((SUMIFS(Effektmåling!$J$178:$J$182,Effektmåling!$D$178:$D$182,$B108,$AH$120:$AH$124,BB$3))&lt;&gt;0,(SUMIFS(Effektmåling!$J$178:$J$182,Effektmåling!$D$178:$D$182,$B108,$AH$120:$AH$124,BB$3))*-AU108,"")</f>
        <v/>
      </c>
      <c r="BC108" s="29" t="str">
        <f>IF((SUMIFS(Effektmåling!$J$178:$J$182,Effektmåling!$D$178:$D$182,$B108,$AH$120:$AH$124,BC$3))&lt;&gt;0,(SUMIFS(Effektmåling!$J$178:$J$182,Effektmåling!$D$178:$D$182,$B108,$AH$120:$AH$124,BC$3))*-AV108,"")</f>
        <v/>
      </c>
      <c r="BD108" s="29" t="str">
        <f>IF((SUMIFS(Effektmåling!$J$178:$J$182,Effektmåling!$D$178:$D$182,$B108,$AH$120:$AH$124,BD$3))&lt;&gt;0,(SUMIFS(Effektmåling!$J$178:$J$182,Effektmåling!$D$178:$D$182,$B108,$AH$120:$AH$124,BD$3))*-AW108,"")</f>
        <v/>
      </c>
      <c r="BE108" s="29" t="str">
        <f>IF((SUMIFS(Effektmåling!$J$178:$J$182,Effektmåling!$D$178:$D$182,$B108,$AH$120:$AH$124,BE$3))&lt;&gt;0,(SUMIFS(Effektmåling!$J$178:$J$182,Effektmåling!$D$178:$D$182,$B108,$AH$120:$AH$124,BE$3))*-AX108,"")</f>
        <v/>
      </c>
      <c r="BF108" s="29" t="str">
        <f>IF((SUMIFS(Effektmåling!$J$178:$J$182,Effektmåling!$D$178:$D$182,$B108,$AH$120:$AH$124,BF$3))&lt;&gt;0,(SUMIFS(Effektmåling!$J$178:$J$182,Effektmåling!$D$178:$D$182,$B108,$AH$120:$AH$124,BF$3))*-AY108,"")</f>
        <v/>
      </c>
      <c r="BH108" s="29" t="str">
        <f>IF((SUMIFS(Effektmåling!$J$163:$J$167,Effektmåling!$D$163:$D$167,$B108,$AO$120:$AO$124,BH$3))&lt;&gt;0,(SUMIFS(Effektmåling!$J$163:$J$167,Effektmåling!$D$163:$D$167,$B108,$AO$120:$AO$124,BH$3))*-AT108,"")</f>
        <v/>
      </c>
      <c r="BI108" s="29" t="str">
        <f>IF((SUMIFS(Effektmåling!$J$163:$J$167,Effektmåling!$D$163:$D$167,$B108,$AO$120:$AO$124,BI$3))&lt;&gt;0,(SUMIFS(Effektmåling!$J$163:$J$167,Effektmåling!$D$163:$D$167,$B108,$AO$120:$AO$124,BI$3))*-AU108,"")</f>
        <v/>
      </c>
      <c r="BJ108" s="29" t="str">
        <f>IF((SUMIFS(Effektmåling!$J$163:$J$167,Effektmåling!$D$163:$D$167,$B108,$AO$120:$AO$124,BJ$3))&lt;&gt;0,(SUMIFS(Effektmåling!$J$163:$J$167,Effektmåling!$D$163:$D$167,$B108,$AO$120:$AO$124,BJ$3))*-AV108,"")</f>
        <v/>
      </c>
      <c r="BK108" s="29" t="str">
        <f>IF((SUMIFS(Effektmåling!$J$163:$J$167,Effektmåling!$D$163:$D$167,$B108,$AO$120:$AO$124,BK$3))&lt;&gt;0,(SUMIFS(Effektmåling!$J$163:$J$167,Effektmåling!$D$163:$D$167,$B108,$AO$120:$AO$124,BK$3))*-AW108,"")</f>
        <v/>
      </c>
      <c r="BL108" s="29" t="str">
        <f>IF((SUMIFS(Effektmåling!$J$163:$J$167,Effektmåling!$D$163:$D$167,$B108,$AO$120:$AO$124,BL$3))&lt;&gt;0,(SUMIFS(Effektmåling!$J$163:$J$167,Effektmåling!$D$163:$D$167,$B108,$AO$120:$AO$124,BL$3))*-AX108,"")</f>
        <v/>
      </c>
      <c r="BM108" s="29" t="str">
        <f>IF((SUMIFS(Effektmåling!$J$163:$J$167,Effektmåling!$D$163:$D$167,$B108,$AO$120:$AO$124,BM$3))&lt;&gt;0,(SUMIFS(Effektmåling!$J$163:$J$167,Effektmåling!$D$163:$D$167,$B108,$AO$120:$AO$124,BM$3))*-AY108,"")</f>
        <v/>
      </c>
    </row>
    <row r="109" spans="1:65" x14ac:dyDescent="0.15">
      <c r="A109" s="474">
        <f t="shared" si="75"/>
        <v>45</v>
      </c>
      <c r="B109" s="19" t="s">
        <v>290</v>
      </c>
      <c r="C109" s="19">
        <v>1</v>
      </c>
      <c r="D109" s="57">
        <v>0</v>
      </c>
      <c r="E109" s="57">
        <v>0</v>
      </c>
      <c r="F109" s="57">
        <v>-0.39200000000000002</v>
      </c>
      <c r="G109" s="112">
        <v>-12.35</v>
      </c>
      <c r="H109" s="27">
        <f t="shared" si="100"/>
        <v>-12.35</v>
      </c>
      <c r="I109" s="57">
        <v>0</v>
      </c>
      <c r="J109" s="57">
        <v>0</v>
      </c>
      <c r="K109" s="113">
        <v>-4.0031453199988185</v>
      </c>
      <c r="L109" s="74">
        <v>0</v>
      </c>
      <c r="M109" s="74">
        <v>0</v>
      </c>
      <c r="O109" s="40">
        <f t="shared" si="101"/>
        <v>-0.39200000000000002</v>
      </c>
      <c r="P109" s="480">
        <f>(IF(Effektmåling!$Q$241="Ja",-0.3*'DB materialer'!D49+G109,G109))-E109</f>
        <v>-12.35</v>
      </c>
      <c r="Q109" s="480">
        <f>(IF(Effektmåling!$Q$241="Ja",1.3*H109,H109))-E109</f>
        <v>-12.35</v>
      </c>
      <c r="R109" s="480">
        <f>(IF(Effektmåling!$Q$241="Ja",-0.3*'DB materialer'!D49+G109,G109))-F109</f>
        <v>-11.958</v>
      </c>
      <c r="S109" s="480">
        <f>(IF(Effektmåling!$Q$241="Ja",1.3*H109,H109))-F109</f>
        <v>-11.958</v>
      </c>
      <c r="T109" s="480">
        <f>(IF(Effektmåling!$Q$241="Ja",1.3*H109,H109))-(IF(Effektmåling!$Q$241="Ja",-0.3*'DB materialer'!D49+G109,G109))</f>
        <v>0</v>
      </c>
      <c r="AE109" s="474">
        <f t="shared" si="76"/>
        <v>43</v>
      </c>
      <c r="AF109" s="29" t="str">
        <f>IF((SUMIFS(Effektmåling!$J$178:$J$182,Effektmåling!$D$178:$D$182,$B109,$AH$120:$AH$124,'DB materialer'!AF$3))&lt;&gt;0,(SUMIFS(Effektmåling!$J$178:$J$182,Effektmåling!$D$178:$D$182,$B109,$AH$120:$AH$124,'DB materialer'!AF$3))*-O109,"")</f>
        <v/>
      </c>
      <c r="AG109" s="29" t="str">
        <f>IF((SUMIFS(Effektmåling!$J$178:$J$182,Effektmåling!$D$178:$D$182,$B109,$AH$120:$AH$124,'DB materialer'!AG$3))&lt;&gt;0,(SUMIFS(Effektmåling!$J$178:$J$182,Effektmåling!$D$178:$D$182,$B109,$AH$120:$AH$124,'DB materialer'!AG$3))*-P109,"")</f>
        <v/>
      </c>
      <c r="AH109" s="29" t="str">
        <f>IF((SUMIFS(Effektmåling!$J$178:$J$182,Effektmåling!$D$178:$D$182,$B109,$AH$120:$AH$124,'DB materialer'!AH$3))&lt;&gt;0,(SUMIFS(Effektmåling!$J$178:$J$182,Effektmåling!$D$178:$D$182,$B109,$AH$120:$AH$124,'DB materialer'!AH$3))*-Q109,"")</f>
        <v/>
      </c>
      <c r="AI109" s="29" t="str">
        <f>IF((SUMIFS(Effektmåling!$J$178:$J$182,Effektmåling!$D$178:$D$182,$B109,$AH$120:$AH$124,'DB materialer'!AI$3))&lt;&gt;0,(SUMIFS(Effektmåling!$J$178:$J$182,Effektmåling!$D$178:$D$182,$B109,$AH$120:$AH$124,'DB materialer'!AI$3))*-R109,"")</f>
        <v/>
      </c>
      <c r="AJ109" s="29" t="str">
        <f>IF((SUMIFS(Effektmåling!$J$178:$J$182,Effektmåling!$D$178:$D$182,$B109,$AH$120:$AH$124,'DB materialer'!AJ$3))&lt;&gt;0,(SUMIFS(Effektmåling!$J$178:$J$182,Effektmåling!$D$178:$D$182,$B109,$AH$120:$AH$124,'DB materialer'!AJ$3))*-S109,"")</f>
        <v/>
      </c>
      <c r="AK109" s="29" t="str">
        <f>IF((SUMIFS(Effektmåling!$J$178:$J$182,Effektmåling!$D$178:$D$182,$B109,$AH$120:$AH$124,'DB materialer'!AK$3))&lt;&gt;0,(SUMIFS(Effektmåling!$J$178:$J$182,Effektmåling!$D$178:$D$182,$B109,$AH$120:$AH$124,'DB materialer'!AK$3))*-T109,"")</f>
        <v/>
      </c>
      <c r="AM109" s="29" t="str">
        <f>IF((SUMIFS(Effektmåling!$J$163:$J$167,Effektmåling!$D$163:$D$167,$B109,$AO$120:$AO$124,'DB materialer'!AM$3))&lt;&gt;0,(SUMIFS(Effektmåling!$J$163:$J$167,Effektmåling!$D$163:$D$167,$B109,$AO$120:$AO$124,'DB materialer'!AM$3))*(-O109)*($C$122),"")</f>
        <v/>
      </c>
      <c r="AN109" s="29" t="str">
        <f>IF((SUMIFS(Effektmåling!$J$163:$J$167,Effektmåling!$D$163:$D$167,$B109,$AO$120:$AO$124,'DB materialer'!AN$3))&lt;&gt;0,(SUMIFS(Effektmåling!$J$163:$J$167,Effektmåling!$D$163:$D$167,$B109,$AO$120:$AO$124,'DB materialer'!AN$3))*(-P109)*($C$122),"")</f>
        <v/>
      </c>
      <c r="AO109" s="29" t="str">
        <f>IF((SUMIFS(Effektmåling!$J$163:$J$167,Effektmåling!$D$163:$D$167,$B109,$AO$120:$AO$124,'DB materialer'!AO$3))&lt;&gt;0,(SUMIFS(Effektmåling!$J$163:$J$167,Effektmåling!$D$163:$D$167,$B109,$AO$120:$AO$124,'DB materialer'!AO$3))*(-Q109)*($C$122),"")</f>
        <v/>
      </c>
      <c r="AP109" s="29" t="str">
        <f>IF((SUMIFS(Effektmåling!$J$163:$J$167,Effektmåling!$D$163:$D$167,$B109,$AO$120:$AO$124,'DB materialer'!AP$3))&lt;&gt;0,(SUMIFS(Effektmåling!$J$163:$J$167,Effektmåling!$D$163:$D$167,$B109,$AO$120:$AO$124,'DB materialer'!AP$3))*(-R109)*($C$122),"")</f>
        <v/>
      </c>
      <c r="AQ109" s="29" t="str">
        <f>IF((SUMIFS(Effektmåling!$J$163:$J$167,Effektmåling!$D$163:$D$167,$B109,$AO$120:$AO$124,'DB materialer'!AQ$3))&lt;&gt;0,(SUMIFS(Effektmåling!$J$163:$J$167,Effektmåling!$D$163:$D$167,$B109,$AO$120:$AO$124,'DB materialer'!AQ$3))*(-S109)*($C$122),"")</f>
        <v/>
      </c>
      <c r="AR109" s="29" t="str">
        <f>IF((SUMIFS(Effektmåling!$J$163:$J$167,Effektmåling!$D$163:$D$167,$B109,$AO$120:$AO$124,'DB materialer'!AR$3))&lt;&gt;0,(SUMIFS(Effektmåling!$J$163:$J$167,Effektmåling!$D$163:$D$167,$B109,$AO$120:$AO$124,'DB materialer'!AR$3))*(-T109)*($C$122),"")</f>
        <v/>
      </c>
      <c r="AT109" s="30">
        <f t="shared" si="102"/>
        <v>-4.0031453199988185</v>
      </c>
      <c r="AU109" s="40">
        <f t="shared" si="103"/>
        <v>1.0000000000000001E-30</v>
      </c>
      <c r="AV109" s="41">
        <f t="shared" si="104"/>
        <v>1.0000000000000001E-30</v>
      </c>
      <c r="AW109" s="40">
        <f t="shared" si="105"/>
        <v>4.0031453199988185</v>
      </c>
      <c r="AX109" s="41">
        <f t="shared" si="106"/>
        <v>4.0031453199988185</v>
      </c>
      <c r="AY109" s="41">
        <f t="shared" si="107"/>
        <v>1.0000000000000001E-30</v>
      </c>
      <c r="BA109" s="29" t="str">
        <f>IF((SUMIFS(Effektmåling!$J$178:$J$182,Effektmåling!$D$178:$D$182,$B109,$AH$120:$AH$124,BA$3))&lt;&gt;0,(SUMIFS(Effektmåling!$J$178:$J$182,Effektmåling!$D$178:$D$182,$B109,$AH$120:$AH$124,BA$3))*-AT109,"")</f>
        <v/>
      </c>
      <c r="BB109" s="29" t="str">
        <f>IF((SUMIFS(Effektmåling!$J$178:$J$182,Effektmåling!$D$178:$D$182,$B109,$AH$120:$AH$124,BB$3))&lt;&gt;0,(SUMIFS(Effektmåling!$J$178:$J$182,Effektmåling!$D$178:$D$182,$B109,$AH$120:$AH$124,BB$3))*-AU109,"")</f>
        <v/>
      </c>
      <c r="BC109" s="29" t="str">
        <f>IF((SUMIFS(Effektmåling!$J$178:$J$182,Effektmåling!$D$178:$D$182,$B109,$AH$120:$AH$124,BC$3))&lt;&gt;0,(SUMIFS(Effektmåling!$J$178:$J$182,Effektmåling!$D$178:$D$182,$B109,$AH$120:$AH$124,BC$3))*-AV109,"")</f>
        <v/>
      </c>
      <c r="BD109" s="29" t="str">
        <f>IF((SUMIFS(Effektmåling!$J$178:$J$182,Effektmåling!$D$178:$D$182,$B109,$AH$120:$AH$124,BD$3))&lt;&gt;0,(SUMIFS(Effektmåling!$J$178:$J$182,Effektmåling!$D$178:$D$182,$B109,$AH$120:$AH$124,BD$3))*-AW109,"")</f>
        <v/>
      </c>
      <c r="BE109" s="29" t="str">
        <f>IF((SUMIFS(Effektmåling!$J$178:$J$182,Effektmåling!$D$178:$D$182,$B109,$AH$120:$AH$124,BE$3))&lt;&gt;0,(SUMIFS(Effektmåling!$J$178:$J$182,Effektmåling!$D$178:$D$182,$B109,$AH$120:$AH$124,BE$3))*-AX109,"")</f>
        <v/>
      </c>
      <c r="BF109" s="29" t="str">
        <f>IF((SUMIFS(Effektmåling!$J$178:$J$182,Effektmåling!$D$178:$D$182,$B109,$AH$120:$AH$124,BF$3))&lt;&gt;0,(SUMIFS(Effektmåling!$J$178:$J$182,Effektmåling!$D$178:$D$182,$B109,$AH$120:$AH$124,BF$3))*-AY109,"")</f>
        <v/>
      </c>
      <c r="BH109" s="29" t="str">
        <f>IF((SUMIFS(Effektmåling!$J$163:$J$167,Effektmåling!$D$163:$D$167,$B109,$AO$120:$AO$124,BH$3))&lt;&gt;0,(SUMIFS(Effektmåling!$J$163:$J$167,Effektmåling!$D$163:$D$167,$B109,$AO$120:$AO$124,BH$3))*-AT109,"")</f>
        <v/>
      </c>
      <c r="BI109" s="29" t="str">
        <f>IF((SUMIFS(Effektmåling!$J$163:$J$167,Effektmåling!$D$163:$D$167,$B109,$AO$120:$AO$124,BI$3))&lt;&gt;0,(SUMIFS(Effektmåling!$J$163:$J$167,Effektmåling!$D$163:$D$167,$B109,$AO$120:$AO$124,BI$3))*-AU109,"")</f>
        <v/>
      </c>
      <c r="BJ109" s="29" t="str">
        <f>IF((SUMIFS(Effektmåling!$J$163:$J$167,Effektmåling!$D$163:$D$167,$B109,$AO$120:$AO$124,BJ$3))&lt;&gt;0,(SUMIFS(Effektmåling!$J$163:$J$167,Effektmåling!$D$163:$D$167,$B109,$AO$120:$AO$124,BJ$3))*-AV109,"")</f>
        <v/>
      </c>
      <c r="BK109" s="29" t="str">
        <f>IF((SUMIFS(Effektmåling!$J$163:$J$167,Effektmåling!$D$163:$D$167,$B109,$AO$120:$AO$124,BK$3))&lt;&gt;0,(SUMIFS(Effektmåling!$J$163:$J$167,Effektmåling!$D$163:$D$167,$B109,$AO$120:$AO$124,BK$3))*-AW109,"")</f>
        <v/>
      </c>
      <c r="BL109" s="29" t="str">
        <f>IF((SUMIFS(Effektmåling!$J$163:$J$167,Effektmåling!$D$163:$D$167,$B109,$AO$120:$AO$124,BL$3))&lt;&gt;0,(SUMIFS(Effektmåling!$J$163:$J$167,Effektmåling!$D$163:$D$167,$B109,$AO$120:$AO$124,BL$3))*-AX109,"")</f>
        <v/>
      </c>
      <c r="BM109" s="29" t="str">
        <f>IF((SUMIFS(Effektmåling!$J$163:$J$167,Effektmåling!$D$163:$D$167,$B109,$AO$120:$AO$124,BM$3))&lt;&gt;0,(SUMIFS(Effektmåling!$J$163:$J$167,Effektmåling!$D$163:$D$167,$B109,$AO$120:$AO$124,BM$3))*-AY109,"")</f>
        <v/>
      </c>
    </row>
    <row r="110" spans="1:65" x14ac:dyDescent="0.15">
      <c r="A110" s="474">
        <f t="shared" si="75"/>
        <v>46</v>
      </c>
      <c r="B110" s="19" t="s">
        <v>291</v>
      </c>
      <c r="C110" s="19">
        <v>1</v>
      </c>
      <c r="D110" s="57">
        <v>0</v>
      </c>
      <c r="E110" s="57">
        <v>0</v>
      </c>
      <c r="F110" s="57">
        <v>-0.39200000000000002</v>
      </c>
      <c r="G110" s="112">
        <v>-2.0019999999999998</v>
      </c>
      <c r="H110" s="27">
        <f t="shared" si="100"/>
        <v>-2.0019999999999998</v>
      </c>
      <c r="I110" s="57">
        <v>0</v>
      </c>
      <c r="J110" s="57">
        <v>0</v>
      </c>
      <c r="K110" s="113">
        <v>-4.0031453199988185</v>
      </c>
      <c r="L110" s="74">
        <v>0</v>
      </c>
      <c r="M110" s="74">
        <v>0</v>
      </c>
      <c r="O110" s="40">
        <f t="shared" si="101"/>
        <v>-0.39200000000000002</v>
      </c>
      <c r="P110" s="480">
        <f>(IF(Effektmåling!$Q$241="Ja",-0.3*'DB materialer'!D50+G110,G110))-E110</f>
        <v>-2.0019999999999998</v>
      </c>
      <c r="Q110" s="480">
        <f>(IF(Effektmåling!$Q$241="Ja",1.3*H110,H110))-E110</f>
        <v>-2.0019999999999998</v>
      </c>
      <c r="R110" s="480">
        <f>(IF(Effektmåling!$Q$241="Ja",-0.3*'DB materialer'!D50+G110,G110))-F110</f>
        <v>-1.6099999999999999</v>
      </c>
      <c r="S110" s="480">
        <f>(IF(Effektmåling!$Q$241="Ja",1.3*H110,H110))-F110</f>
        <v>-1.6099999999999999</v>
      </c>
      <c r="T110" s="480">
        <f>(IF(Effektmåling!$Q$241="Ja",1.3*H110,H110))-(IF(Effektmåling!$Q$241="Ja",-0.3*'DB materialer'!D50+G110,G110))</f>
        <v>0</v>
      </c>
      <c r="AE110" s="474">
        <f t="shared" si="76"/>
        <v>44</v>
      </c>
      <c r="AF110" s="29" t="str">
        <f>IF((SUMIFS(Effektmåling!$J$178:$J$182,Effektmåling!$D$178:$D$182,$B110,$AH$120:$AH$124,'DB materialer'!AF$3))&lt;&gt;0,(SUMIFS(Effektmåling!$J$178:$J$182,Effektmåling!$D$178:$D$182,$B110,$AH$120:$AH$124,'DB materialer'!AF$3))*-O110,"")</f>
        <v/>
      </c>
      <c r="AG110" s="29" t="str">
        <f>IF((SUMIFS(Effektmåling!$J$178:$J$182,Effektmåling!$D$178:$D$182,$B110,$AH$120:$AH$124,'DB materialer'!AG$3))&lt;&gt;0,(SUMIFS(Effektmåling!$J$178:$J$182,Effektmåling!$D$178:$D$182,$B110,$AH$120:$AH$124,'DB materialer'!AG$3))*-P110,"")</f>
        <v/>
      </c>
      <c r="AH110" s="29" t="str">
        <f>IF((SUMIFS(Effektmåling!$J$178:$J$182,Effektmåling!$D$178:$D$182,$B110,$AH$120:$AH$124,'DB materialer'!AH$3))&lt;&gt;0,(SUMIFS(Effektmåling!$J$178:$J$182,Effektmåling!$D$178:$D$182,$B110,$AH$120:$AH$124,'DB materialer'!AH$3))*-Q110,"")</f>
        <v/>
      </c>
      <c r="AI110" s="29" t="str">
        <f>IF((SUMIFS(Effektmåling!$J$178:$J$182,Effektmåling!$D$178:$D$182,$B110,$AH$120:$AH$124,'DB materialer'!AI$3))&lt;&gt;0,(SUMIFS(Effektmåling!$J$178:$J$182,Effektmåling!$D$178:$D$182,$B110,$AH$120:$AH$124,'DB materialer'!AI$3))*-R110,"")</f>
        <v/>
      </c>
      <c r="AJ110" s="29" t="str">
        <f>IF((SUMIFS(Effektmåling!$J$178:$J$182,Effektmåling!$D$178:$D$182,$B110,$AH$120:$AH$124,'DB materialer'!AJ$3))&lt;&gt;0,(SUMIFS(Effektmåling!$J$178:$J$182,Effektmåling!$D$178:$D$182,$B110,$AH$120:$AH$124,'DB materialer'!AJ$3))*-S110,"")</f>
        <v/>
      </c>
      <c r="AK110" s="29" t="str">
        <f>IF((SUMIFS(Effektmåling!$J$178:$J$182,Effektmåling!$D$178:$D$182,$B110,$AH$120:$AH$124,'DB materialer'!AK$3))&lt;&gt;0,(SUMIFS(Effektmåling!$J$178:$J$182,Effektmåling!$D$178:$D$182,$B110,$AH$120:$AH$124,'DB materialer'!AK$3))*-T110,"")</f>
        <v/>
      </c>
      <c r="AM110" s="29" t="str">
        <f>IF((SUMIFS(Effektmåling!$J$163:$J$167,Effektmåling!$D$163:$D$167,$B110,$AO$120:$AO$124,'DB materialer'!AM$3))&lt;&gt;0,(SUMIFS(Effektmåling!$J$163:$J$167,Effektmåling!$D$163:$D$167,$B110,$AO$120:$AO$124,'DB materialer'!AM$3))*(-O110)*($C$122),"")</f>
        <v/>
      </c>
      <c r="AN110" s="29" t="str">
        <f>IF((SUMIFS(Effektmåling!$J$163:$J$167,Effektmåling!$D$163:$D$167,$B110,$AO$120:$AO$124,'DB materialer'!AN$3))&lt;&gt;0,(SUMIFS(Effektmåling!$J$163:$J$167,Effektmåling!$D$163:$D$167,$B110,$AO$120:$AO$124,'DB materialer'!AN$3))*(-P110)*($C$122),"")</f>
        <v/>
      </c>
      <c r="AO110" s="29" t="str">
        <f>IF((SUMIFS(Effektmåling!$J$163:$J$167,Effektmåling!$D$163:$D$167,$B110,$AO$120:$AO$124,'DB materialer'!AO$3))&lt;&gt;0,(SUMIFS(Effektmåling!$J$163:$J$167,Effektmåling!$D$163:$D$167,$B110,$AO$120:$AO$124,'DB materialer'!AO$3))*(-Q110)*($C$122),"")</f>
        <v/>
      </c>
      <c r="AP110" s="29" t="str">
        <f>IF((SUMIFS(Effektmåling!$J$163:$J$167,Effektmåling!$D$163:$D$167,$B110,$AO$120:$AO$124,'DB materialer'!AP$3))&lt;&gt;0,(SUMIFS(Effektmåling!$J$163:$J$167,Effektmåling!$D$163:$D$167,$B110,$AO$120:$AO$124,'DB materialer'!AP$3))*(-R110)*($C$122),"")</f>
        <v/>
      </c>
      <c r="AQ110" s="29" t="str">
        <f>IF((SUMIFS(Effektmåling!$J$163:$J$167,Effektmåling!$D$163:$D$167,$B110,$AO$120:$AO$124,'DB materialer'!AQ$3))&lt;&gt;0,(SUMIFS(Effektmåling!$J$163:$J$167,Effektmåling!$D$163:$D$167,$B110,$AO$120:$AO$124,'DB materialer'!AQ$3))*(-S110)*($C$122),"")</f>
        <v/>
      </c>
      <c r="AR110" s="29" t="str">
        <f>IF((SUMIFS(Effektmåling!$J$163:$J$167,Effektmåling!$D$163:$D$167,$B110,$AO$120:$AO$124,'DB materialer'!AR$3))&lt;&gt;0,(SUMIFS(Effektmåling!$J$163:$J$167,Effektmåling!$D$163:$D$167,$B110,$AO$120:$AO$124,'DB materialer'!AR$3))*(-T110)*($C$122),"")</f>
        <v/>
      </c>
      <c r="AT110" s="30">
        <f t="shared" si="102"/>
        <v>-4.0031453199988185</v>
      </c>
      <c r="AU110" s="40">
        <f t="shared" si="103"/>
        <v>1.0000000000000001E-30</v>
      </c>
      <c r="AV110" s="41">
        <f t="shared" si="104"/>
        <v>1.0000000000000001E-30</v>
      </c>
      <c r="AW110" s="40">
        <f t="shared" si="105"/>
        <v>4.0031453199988185</v>
      </c>
      <c r="AX110" s="41">
        <f t="shared" si="106"/>
        <v>4.0031453199988185</v>
      </c>
      <c r="AY110" s="41">
        <f t="shared" si="107"/>
        <v>1.0000000000000001E-30</v>
      </c>
      <c r="BA110" s="29" t="str">
        <f>IF((SUMIFS(Effektmåling!$J$178:$J$182,Effektmåling!$D$178:$D$182,$B110,$AH$120:$AH$124,BA$3))&lt;&gt;0,(SUMIFS(Effektmåling!$J$178:$J$182,Effektmåling!$D$178:$D$182,$B110,$AH$120:$AH$124,BA$3))*-AT110,"")</f>
        <v/>
      </c>
      <c r="BB110" s="29" t="str">
        <f>IF((SUMIFS(Effektmåling!$J$178:$J$182,Effektmåling!$D$178:$D$182,$B110,$AH$120:$AH$124,BB$3))&lt;&gt;0,(SUMIFS(Effektmåling!$J$178:$J$182,Effektmåling!$D$178:$D$182,$B110,$AH$120:$AH$124,BB$3))*-AU110,"")</f>
        <v/>
      </c>
      <c r="BC110" s="29" t="str">
        <f>IF((SUMIFS(Effektmåling!$J$178:$J$182,Effektmåling!$D$178:$D$182,$B110,$AH$120:$AH$124,BC$3))&lt;&gt;0,(SUMIFS(Effektmåling!$J$178:$J$182,Effektmåling!$D$178:$D$182,$B110,$AH$120:$AH$124,BC$3))*-AV110,"")</f>
        <v/>
      </c>
      <c r="BD110" s="29" t="str">
        <f>IF((SUMIFS(Effektmåling!$J$178:$J$182,Effektmåling!$D$178:$D$182,$B110,$AH$120:$AH$124,BD$3))&lt;&gt;0,(SUMIFS(Effektmåling!$J$178:$J$182,Effektmåling!$D$178:$D$182,$B110,$AH$120:$AH$124,BD$3))*-AW110,"")</f>
        <v/>
      </c>
      <c r="BE110" s="29" t="str">
        <f>IF((SUMIFS(Effektmåling!$J$178:$J$182,Effektmåling!$D$178:$D$182,$B110,$AH$120:$AH$124,BE$3))&lt;&gt;0,(SUMIFS(Effektmåling!$J$178:$J$182,Effektmåling!$D$178:$D$182,$B110,$AH$120:$AH$124,BE$3))*-AX110,"")</f>
        <v/>
      </c>
      <c r="BF110" s="29" t="str">
        <f>IF((SUMIFS(Effektmåling!$J$178:$J$182,Effektmåling!$D$178:$D$182,$B110,$AH$120:$AH$124,BF$3))&lt;&gt;0,(SUMIFS(Effektmåling!$J$178:$J$182,Effektmåling!$D$178:$D$182,$B110,$AH$120:$AH$124,BF$3))*-AY110,"")</f>
        <v/>
      </c>
      <c r="BH110" s="29" t="str">
        <f>IF((SUMIFS(Effektmåling!$J$163:$J$167,Effektmåling!$D$163:$D$167,$B110,$AO$120:$AO$124,BH$3))&lt;&gt;0,(SUMIFS(Effektmåling!$J$163:$J$167,Effektmåling!$D$163:$D$167,$B110,$AO$120:$AO$124,BH$3))*-AT110,"")</f>
        <v/>
      </c>
      <c r="BI110" s="29" t="str">
        <f>IF((SUMIFS(Effektmåling!$J$163:$J$167,Effektmåling!$D$163:$D$167,$B110,$AO$120:$AO$124,BI$3))&lt;&gt;0,(SUMIFS(Effektmåling!$J$163:$J$167,Effektmåling!$D$163:$D$167,$B110,$AO$120:$AO$124,BI$3))*-AU110,"")</f>
        <v/>
      </c>
      <c r="BJ110" s="29" t="str">
        <f>IF((SUMIFS(Effektmåling!$J$163:$J$167,Effektmåling!$D$163:$D$167,$B110,$AO$120:$AO$124,BJ$3))&lt;&gt;0,(SUMIFS(Effektmåling!$J$163:$J$167,Effektmåling!$D$163:$D$167,$B110,$AO$120:$AO$124,BJ$3))*-AV110,"")</f>
        <v/>
      </c>
      <c r="BK110" s="29" t="str">
        <f>IF((SUMIFS(Effektmåling!$J$163:$J$167,Effektmåling!$D$163:$D$167,$B110,$AO$120:$AO$124,BK$3))&lt;&gt;0,(SUMIFS(Effektmåling!$J$163:$J$167,Effektmåling!$D$163:$D$167,$B110,$AO$120:$AO$124,BK$3))*-AW110,"")</f>
        <v/>
      </c>
      <c r="BL110" s="29" t="str">
        <f>IF((SUMIFS(Effektmåling!$J$163:$J$167,Effektmåling!$D$163:$D$167,$B110,$AO$120:$AO$124,BL$3))&lt;&gt;0,(SUMIFS(Effektmåling!$J$163:$J$167,Effektmåling!$D$163:$D$167,$B110,$AO$120:$AO$124,BL$3))*-AX110,"")</f>
        <v/>
      </c>
      <c r="BM110" s="29" t="str">
        <f>IF((SUMIFS(Effektmåling!$J$163:$J$167,Effektmåling!$D$163:$D$167,$B110,$AO$120:$AO$124,BM$3))&lt;&gt;0,(SUMIFS(Effektmåling!$J$163:$J$167,Effektmåling!$D$163:$D$167,$B110,$AO$120:$AO$124,BM$3))*-AY110,"")</f>
        <v/>
      </c>
    </row>
    <row r="111" spans="1:65" x14ac:dyDescent="0.15">
      <c r="A111" s="474">
        <f t="shared" si="75"/>
        <v>47</v>
      </c>
      <c r="B111" s="19" t="s">
        <v>292</v>
      </c>
      <c r="C111" s="19">
        <v>1</v>
      </c>
      <c r="D111" s="57">
        <v>0</v>
      </c>
      <c r="E111" s="57">
        <v>0</v>
      </c>
      <c r="F111" s="57">
        <v>0</v>
      </c>
      <c r="G111" s="104">
        <v>0</v>
      </c>
      <c r="H111" s="22">
        <f t="shared" si="100"/>
        <v>-1E-4</v>
      </c>
      <c r="I111" s="57">
        <v>0</v>
      </c>
      <c r="J111" s="57">
        <v>0</v>
      </c>
      <c r="K111" s="57">
        <v>0</v>
      </c>
      <c r="L111" s="74">
        <v>0</v>
      </c>
      <c r="M111" s="74">
        <v>0</v>
      </c>
      <c r="O111" s="40">
        <f t="shared" si="101"/>
        <v>0</v>
      </c>
      <c r="P111" s="480">
        <f>(IF(Effektmåling!$Q$241="Ja",-0.3*'DB materialer'!D51+G111,G111))-E111</f>
        <v>0</v>
      </c>
      <c r="Q111" s="480">
        <f>(IF(Effektmåling!$Q$241="Ja",1.3*H111,H111))-E111</f>
        <v>-1E-4</v>
      </c>
      <c r="R111" s="480">
        <f>(IF(Effektmåling!$Q$241="Ja",-0.3*'DB materialer'!D51+G111,G111))-F111</f>
        <v>0</v>
      </c>
      <c r="S111" s="480">
        <f>(IF(Effektmåling!$Q$241="Ja",1.3*H111,H111))-F111</f>
        <v>-1E-4</v>
      </c>
      <c r="T111" s="480">
        <f>(IF(Effektmåling!$Q$241="Ja",1.3*H111,H111))-(IF(Effektmåling!$Q$241="Ja",-0.3*'DB materialer'!D51+G111,G111))</f>
        <v>-1E-4</v>
      </c>
      <c r="AE111" s="474">
        <f t="shared" si="76"/>
        <v>45</v>
      </c>
      <c r="AF111" s="29" t="str">
        <f>IF((SUMIFS(Effektmåling!$J$178:$J$182,Effektmåling!$D$178:$D$182,$B111,$AH$120:$AH$124,'DB materialer'!AF$3))&lt;&gt;0,(SUMIFS(Effektmåling!$J$178:$J$182,Effektmåling!$D$178:$D$182,$B111,$AH$120:$AH$124,'DB materialer'!AF$3))*-O111,"")</f>
        <v/>
      </c>
      <c r="AG111" s="29" t="str">
        <f>IF((SUMIFS(Effektmåling!$J$178:$J$182,Effektmåling!$D$178:$D$182,$B111,$AH$120:$AH$124,'DB materialer'!AG$3))&lt;&gt;0,(SUMIFS(Effektmåling!$J$178:$J$182,Effektmåling!$D$178:$D$182,$B111,$AH$120:$AH$124,'DB materialer'!AG$3))*-P111,"")</f>
        <v/>
      </c>
      <c r="AH111" s="29" t="str">
        <f>IF((SUMIFS(Effektmåling!$J$178:$J$182,Effektmåling!$D$178:$D$182,$B111,$AH$120:$AH$124,'DB materialer'!AH$3))&lt;&gt;0,(SUMIFS(Effektmåling!$J$178:$J$182,Effektmåling!$D$178:$D$182,$B111,$AH$120:$AH$124,'DB materialer'!AH$3))*-Q111,"")</f>
        <v/>
      </c>
      <c r="AI111" s="29" t="str">
        <f>IF((SUMIFS(Effektmåling!$J$178:$J$182,Effektmåling!$D$178:$D$182,$B111,$AH$120:$AH$124,'DB materialer'!AI$3))&lt;&gt;0,(SUMIFS(Effektmåling!$J$178:$J$182,Effektmåling!$D$178:$D$182,$B111,$AH$120:$AH$124,'DB materialer'!AI$3))*-R111,"")</f>
        <v/>
      </c>
      <c r="AJ111" s="29" t="str">
        <f>IF((SUMIFS(Effektmåling!$J$178:$J$182,Effektmåling!$D$178:$D$182,$B111,$AH$120:$AH$124,'DB materialer'!AJ$3))&lt;&gt;0,(SUMIFS(Effektmåling!$J$178:$J$182,Effektmåling!$D$178:$D$182,$B111,$AH$120:$AH$124,'DB materialer'!AJ$3))*-S111,"")</f>
        <v/>
      </c>
      <c r="AK111" s="29" t="str">
        <f>IF((SUMIFS(Effektmåling!$J$178:$J$182,Effektmåling!$D$178:$D$182,$B111,$AH$120:$AH$124,'DB materialer'!AK$3))&lt;&gt;0,(SUMIFS(Effektmåling!$J$178:$J$182,Effektmåling!$D$178:$D$182,$B111,$AH$120:$AH$124,'DB materialer'!AK$3))*-T111,"")</f>
        <v/>
      </c>
      <c r="AM111" s="29" t="str">
        <f>IF((SUMIFS(Effektmåling!$J$163:$J$167,Effektmåling!$D$163:$D$167,$B111,$AO$120:$AO$124,'DB materialer'!AM$3))&lt;&gt;0,(SUMIFS(Effektmåling!$J$163:$J$167,Effektmåling!$D$163:$D$167,$B111,$AO$120:$AO$124,'DB materialer'!AM$3))*(-O111)*($C$122),"")</f>
        <v/>
      </c>
      <c r="AN111" s="29" t="str">
        <f>IF((SUMIFS(Effektmåling!$J$163:$J$167,Effektmåling!$D$163:$D$167,$B111,$AO$120:$AO$124,'DB materialer'!AN$3))&lt;&gt;0,(SUMIFS(Effektmåling!$J$163:$J$167,Effektmåling!$D$163:$D$167,$B111,$AO$120:$AO$124,'DB materialer'!AN$3))*(-P111)*($C$122),"")</f>
        <v/>
      </c>
      <c r="AO111" s="29" t="str">
        <f>IF((SUMIFS(Effektmåling!$J$163:$J$167,Effektmåling!$D$163:$D$167,$B111,$AO$120:$AO$124,'DB materialer'!AO$3))&lt;&gt;0,(SUMIFS(Effektmåling!$J$163:$J$167,Effektmåling!$D$163:$D$167,$B111,$AO$120:$AO$124,'DB materialer'!AO$3))*(-Q111)*($C$122),"")</f>
        <v/>
      </c>
      <c r="AP111" s="29" t="str">
        <f>IF((SUMIFS(Effektmåling!$J$163:$J$167,Effektmåling!$D$163:$D$167,$B111,$AO$120:$AO$124,'DB materialer'!AP$3))&lt;&gt;0,(SUMIFS(Effektmåling!$J$163:$J$167,Effektmåling!$D$163:$D$167,$B111,$AO$120:$AO$124,'DB materialer'!AP$3))*(-R111)*($C$122),"")</f>
        <v/>
      </c>
      <c r="AQ111" s="29" t="str">
        <f>IF((SUMIFS(Effektmåling!$J$163:$J$167,Effektmåling!$D$163:$D$167,$B111,$AO$120:$AO$124,'DB materialer'!AQ$3))&lt;&gt;0,(SUMIFS(Effektmåling!$J$163:$J$167,Effektmåling!$D$163:$D$167,$B111,$AO$120:$AO$124,'DB materialer'!AQ$3))*(-S111)*($C$122),"")</f>
        <v/>
      </c>
      <c r="AR111" s="29" t="str">
        <f>IF((SUMIFS(Effektmåling!$J$163:$J$167,Effektmåling!$D$163:$D$167,$B111,$AO$120:$AO$124,'DB materialer'!AR$3))&lt;&gt;0,(SUMIFS(Effektmåling!$J$163:$J$167,Effektmåling!$D$163:$D$167,$B111,$AO$120:$AO$124,'DB materialer'!AR$3))*(-T111)*($C$122),"")</f>
        <v/>
      </c>
      <c r="AT111" s="30">
        <f t="shared" si="102"/>
        <v>1.0000000000000001E-30</v>
      </c>
      <c r="AU111" s="40">
        <f t="shared" si="103"/>
        <v>1.0000000000000001E-30</v>
      </c>
      <c r="AV111" s="41">
        <f t="shared" si="104"/>
        <v>1.0000000000000001E-30</v>
      </c>
      <c r="AW111" s="40">
        <f t="shared" si="105"/>
        <v>1.0000000000000001E-30</v>
      </c>
      <c r="AX111" s="41">
        <f t="shared" si="106"/>
        <v>1.0000000000000001E-30</v>
      </c>
      <c r="AY111" s="41">
        <f t="shared" si="107"/>
        <v>1.0000000000000001E-30</v>
      </c>
      <c r="BA111" s="29" t="str">
        <f>IF((SUMIFS(Effektmåling!$J$178:$J$182,Effektmåling!$D$178:$D$182,$B111,$AH$120:$AH$124,BA$3))&lt;&gt;0,(SUMIFS(Effektmåling!$J$178:$J$182,Effektmåling!$D$178:$D$182,$B111,$AH$120:$AH$124,BA$3))*-AT111,"")</f>
        <v/>
      </c>
      <c r="BB111" s="29" t="str">
        <f>IF((SUMIFS(Effektmåling!$J$178:$J$182,Effektmåling!$D$178:$D$182,$B111,$AH$120:$AH$124,BB$3))&lt;&gt;0,(SUMIFS(Effektmåling!$J$178:$J$182,Effektmåling!$D$178:$D$182,$B111,$AH$120:$AH$124,BB$3))*-AU111,"")</f>
        <v/>
      </c>
      <c r="BC111" s="29" t="str">
        <f>IF((SUMIFS(Effektmåling!$J$178:$J$182,Effektmåling!$D$178:$D$182,$B111,$AH$120:$AH$124,BC$3))&lt;&gt;0,(SUMIFS(Effektmåling!$J$178:$J$182,Effektmåling!$D$178:$D$182,$B111,$AH$120:$AH$124,BC$3))*-AV111,"")</f>
        <v/>
      </c>
      <c r="BD111" s="29" t="str">
        <f>IF((SUMIFS(Effektmåling!$J$178:$J$182,Effektmåling!$D$178:$D$182,$B111,$AH$120:$AH$124,BD$3))&lt;&gt;0,(SUMIFS(Effektmåling!$J$178:$J$182,Effektmåling!$D$178:$D$182,$B111,$AH$120:$AH$124,BD$3))*-AW111,"")</f>
        <v/>
      </c>
      <c r="BE111" s="29" t="str">
        <f>IF((SUMIFS(Effektmåling!$J$178:$J$182,Effektmåling!$D$178:$D$182,$B111,$AH$120:$AH$124,BE$3))&lt;&gt;0,(SUMIFS(Effektmåling!$J$178:$J$182,Effektmåling!$D$178:$D$182,$B111,$AH$120:$AH$124,BE$3))*-AX111,"")</f>
        <v/>
      </c>
      <c r="BF111" s="29" t="str">
        <f>IF((SUMIFS(Effektmåling!$J$178:$J$182,Effektmåling!$D$178:$D$182,$B111,$AH$120:$AH$124,BF$3))&lt;&gt;0,(SUMIFS(Effektmåling!$J$178:$J$182,Effektmåling!$D$178:$D$182,$B111,$AH$120:$AH$124,BF$3))*-AY111,"")</f>
        <v/>
      </c>
      <c r="BH111" s="29" t="str">
        <f>IF((SUMIFS(Effektmåling!$J$163:$J$167,Effektmåling!$D$163:$D$167,$B111,$AO$120:$AO$124,BH$3))&lt;&gt;0,(SUMIFS(Effektmåling!$J$163:$J$167,Effektmåling!$D$163:$D$167,$B111,$AO$120:$AO$124,BH$3))*-AT111,"")</f>
        <v/>
      </c>
      <c r="BI111" s="29" t="str">
        <f>IF((SUMIFS(Effektmåling!$J$163:$J$167,Effektmåling!$D$163:$D$167,$B111,$AO$120:$AO$124,BI$3))&lt;&gt;0,(SUMIFS(Effektmåling!$J$163:$J$167,Effektmåling!$D$163:$D$167,$B111,$AO$120:$AO$124,BI$3))*-AU111,"")</f>
        <v/>
      </c>
      <c r="BJ111" s="29" t="str">
        <f>IF((SUMIFS(Effektmåling!$J$163:$J$167,Effektmåling!$D$163:$D$167,$B111,$AO$120:$AO$124,BJ$3))&lt;&gt;0,(SUMIFS(Effektmåling!$J$163:$J$167,Effektmåling!$D$163:$D$167,$B111,$AO$120:$AO$124,BJ$3))*-AV111,"")</f>
        <v/>
      </c>
      <c r="BK111" s="29" t="str">
        <f>IF((SUMIFS(Effektmåling!$J$163:$J$167,Effektmåling!$D$163:$D$167,$B111,$AO$120:$AO$124,BK$3))&lt;&gt;0,(SUMIFS(Effektmåling!$J$163:$J$167,Effektmåling!$D$163:$D$167,$B111,$AO$120:$AO$124,BK$3))*-AW111,"")</f>
        <v/>
      </c>
      <c r="BL111" s="29" t="str">
        <f>IF((SUMIFS(Effektmåling!$J$163:$J$167,Effektmåling!$D$163:$D$167,$B111,$AO$120:$AO$124,BL$3))&lt;&gt;0,(SUMIFS(Effektmåling!$J$163:$J$167,Effektmåling!$D$163:$D$167,$B111,$AO$120:$AO$124,BL$3))*-AX111,"")</f>
        <v/>
      </c>
      <c r="BM111" s="29" t="str">
        <f>IF((SUMIFS(Effektmåling!$J$163:$J$167,Effektmåling!$D$163:$D$167,$B111,$AO$120:$AO$124,BM$3))&lt;&gt;0,(SUMIFS(Effektmåling!$J$163:$J$167,Effektmåling!$D$163:$D$167,$B111,$AO$120:$AO$124,BM$3))*-AY111,"")</f>
        <v/>
      </c>
    </row>
    <row r="112" spans="1:65" x14ac:dyDescent="0.15">
      <c r="A112" s="474">
        <f t="shared" si="75"/>
        <v>48</v>
      </c>
      <c r="B112" s="29" t="s">
        <v>293</v>
      </c>
      <c r="C112" s="29">
        <v>1</v>
      </c>
      <c r="D112" s="57">
        <v>0</v>
      </c>
      <c r="E112" s="57">
        <v>0</v>
      </c>
      <c r="F112" s="57">
        <v>0</v>
      </c>
      <c r="G112" s="118">
        <v>0</v>
      </c>
      <c r="H112" s="167">
        <f t="shared" si="100"/>
        <v>-0.9</v>
      </c>
      <c r="I112" s="57">
        <v>0</v>
      </c>
      <c r="J112" s="57">
        <v>0</v>
      </c>
      <c r="K112" s="57">
        <v>0</v>
      </c>
      <c r="L112" s="74">
        <v>0</v>
      </c>
      <c r="M112" s="74">
        <v>0</v>
      </c>
      <c r="O112" s="40">
        <f t="shared" si="101"/>
        <v>0</v>
      </c>
      <c r="P112" s="480">
        <f>(IF(Effektmåling!$Q$241="Ja",-0.3*'DB materialer'!D52+G112,G112))-E112</f>
        <v>0</v>
      </c>
      <c r="Q112" s="480">
        <f>(IF(Effektmåling!$Q$241="Ja",1.3*H112,H112))-E112</f>
        <v>-0.9</v>
      </c>
      <c r="R112" s="480">
        <f>(IF(Effektmåling!$Q$241="Ja",-0.3*'DB materialer'!D52+G112,G112))-F112</f>
        <v>0</v>
      </c>
      <c r="S112" s="480">
        <f>(IF(Effektmåling!$Q$241="Ja",1.3*H112,H112))-F112</f>
        <v>-0.9</v>
      </c>
      <c r="T112" s="480">
        <f>(IF(Effektmåling!$Q$241="Ja",1.3*H112,H112))-(IF(Effektmåling!$Q$241="Ja",-0.3*'DB materialer'!D52+G112,G112))</f>
        <v>-0.9</v>
      </c>
      <c r="AE112" s="474">
        <f t="shared" si="76"/>
        <v>46</v>
      </c>
      <c r="AF112" s="29" t="str">
        <f>IF((SUMIFS(Effektmåling!$J$178:$J$182,Effektmåling!$D$178:$D$182,$B112,$AH$120:$AH$124,'DB materialer'!AF$3))&lt;&gt;0,(SUMIFS(Effektmåling!$J$178:$J$182,Effektmåling!$D$178:$D$182,$B112,$AH$120:$AH$124,'DB materialer'!AF$3))*-O112,"")</f>
        <v/>
      </c>
      <c r="AG112" s="29" t="str">
        <f>IF((SUMIFS(Effektmåling!$J$178:$J$182,Effektmåling!$D$178:$D$182,$B112,$AH$120:$AH$124,'DB materialer'!AG$3))&lt;&gt;0,(SUMIFS(Effektmåling!$J$178:$J$182,Effektmåling!$D$178:$D$182,$B112,$AH$120:$AH$124,'DB materialer'!AG$3))*-P112,"")</f>
        <v/>
      </c>
      <c r="AH112" s="29" t="str">
        <f>IF((SUMIFS(Effektmåling!$J$178:$J$182,Effektmåling!$D$178:$D$182,$B112,$AH$120:$AH$124,'DB materialer'!AH$3))&lt;&gt;0,(SUMIFS(Effektmåling!$J$178:$J$182,Effektmåling!$D$178:$D$182,$B112,$AH$120:$AH$124,'DB materialer'!AH$3))*-Q112,"")</f>
        <v/>
      </c>
      <c r="AI112" s="29" t="str">
        <f>IF((SUMIFS(Effektmåling!$J$178:$J$182,Effektmåling!$D$178:$D$182,$B112,$AH$120:$AH$124,'DB materialer'!AI$3))&lt;&gt;0,(SUMIFS(Effektmåling!$J$178:$J$182,Effektmåling!$D$178:$D$182,$B112,$AH$120:$AH$124,'DB materialer'!AI$3))*-R112,"")</f>
        <v/>
      </c>
      <c r="AJ112" s="29" t="str">
        <f>IF((SUMIFS(Effektmåling!$J$178:$J$182,Effektmåling!$D$178:$D$182,$B112,$AH$120:$AH$124,'DB materialer'!AJ$3))&lt;&gt;0,(SUMIFS(Effektmåling!$J$178:$J$182,Effektmåling!$D$178:$D$182,$B112,$AH$120:$AH$124,'DB materialer'!AJ$3))*-S112,"")</f>
        <v/>
      </c>
      <c r="AK112" s="29" t="str">
        <f>IF((SUMIFS(Effektmåling!$J$178:$J$182,Effektmåling!$D$178:$D$182,$B112,$AH$120:$AH$124,'DB materialer'!AK$3))&lt;&gt;0,(SUMIFS(Effektmåling!$J$178:$J$182,Effektmåling!$D$178:$D$182,$B112,$AH$120:$AH$124,'DB materialer'!AK$3))*-T112,"")</f>
        <v/>
      </c>
      <c r="AM112" s="29" t="str">
        <f>IF((SUMIFS(Effektmåling!$J$163:$J$167,Effektmåling!$D$163:$D$167,$B112,$AO$120:$AO$124,'DB materialer'!AM$3))&lt;&gt;0,(SUMIFS(Effektmåling!$J$163:$J$167,Effektmåling!$D$163:$D$167,$B112,$AO$120:$AO$124,'DB materialer'!AM$3))*(-O112)*($C$122),"")</f>
        <v/>
      </c>
      <c r="AN112" s="29" t="str">
        <f>IF((SUMIFS(Effektmåling!$J$163:$J$167,Effektmåling!$D$163:$D$167,$B112,$AO$120:$AO$124,'DB materialer'!AN$3))&lt;&gt;0,(SUMIFS(Effektmåling!$J$163:$J$167,Effektmåling!$D$163:$D$167,$B112,$AO$120:$AO$124,'DB materialer'!AN$3))*(-P112)*($C$122),"")</f>
        <v/>
      </c>
      <c r="AO112" s="29" t="str">
        <f>IF((SUMIFS(Effektmåling!$J$163:$J$167,Effektmåling!$D$163:$D$167,$B112,$AO$120:$AO$124,'DB materialer'!AO$3))&lt;&gt;0,(SUMIFS(Effektmåling!$J$163:$J$167,Effektmåling!$D$163:$D$167,$B112,$AO$120:$AO$124,'DB materialer'!AO$3))*(-Q112)*($C$122),"")</f>
        <v/>
      </c>
      <c r="AP112" s="29" t="str">
        <f>IF((SUMIFS(Effektmåling!$J$163:$J$167,Effektmåling!$D$163:$D$167,$B112,$AO$120:$AO$124,'DB materialer'!AP$3))&lt;&gt;0,(SUMIFS(Effektmåling!$J$163:$J$167,Effektmåling!$D$163:$D$167,$B112,$AO$120:$AO$124,'DB materialer'!AP$3))*(-R112)*($C$122),"")</f>
        <v/>
      </c>
      <c r="AQ112" s="29" t="str">
        <f>IF((SUMIFS(Effektmåling!$J$163:$J$167,Effektmåling!$D$163:$D$167,$B112,$AO$120:$AO$124,'DB materialer'!AQ$3))&lt;&gt;0,(SUMIFS(Effektmåling!$J$163:$J$167,Effektmåling!$D$163:$D$167,$B112,$AO$120:$AO$124,'DB materialer'!AQ$3))*(-S112)*($C$122),"")</f>
        <v/>
      </c>
      <c r="AR112" s="29" t="str">
        <f>IF((SUMIFS(Effektmåling!$J$163:$J$167,Effektmåling!$D$163:$D$167,$B112,$AO$120:$AO$124,'DB materialer'!AR$3))&lt;&gt;0,(SUMIFS(Effektmåling!$J$163:$J$167,Effektmåling!$D$163:$D$167,$B112,$AO$120:$AO$124,'DB materialer'!AR$3))*(-T112)*($C$122),"")</f>
        <v/>
      </c>
      <c r="AT112" s="30">
        <f t="shared" si="102"/>
        <v>1.0000000000000001E-30</v>
      </c>
      <c r="AU112" s="40">
        <f t="shared" si="103"/>
        <v>1.0000000000000001E-30</v>
      </c>
      <c r="AV112" s="41">
        <f t="shared" si="104"/>
        <v>1.0000000000000001E-30</v>
      </c>
      <c r="AW112" s="40">
        <f t="shared" si="105"/>
        <v>1.0000000000000001E-30</v>
      </c>
      <c r="AX112" s="41">
        <f t="shared" si="106"/>
        <v>1.0000000000000001E-30</v>
      </c>
      <c r="AY112" s="41">
        <f t="shared" si="107"/>
        <v>1.0000000000000001E-30</v>
      </c>
      <c r="BA112" s="29" t="str">
        <f>IF((SUMIFS(Effektmåling!$J$178:$J$182,Effektmåling!$D$178:$D$182,$B112,$AH$120:$AH$124,BA$3))&lt;&gt;0,(SUMIFS(Effektmåling!$J$178:$J$182,Effektmåling!$D$178:$D$182,$B112,$AH$120:$AH$124,BA$3))*-AT112,"")</f>
        <v/>
      </c>
      <c r="BB112" s="29" t="str">
        <f>IF((SUMIFS(Effektmåling!$J$178:$J$182,Effektmåling!$D$178:$D$182,$B112,$AH$120:$AH$124,BB$3))&lt;&gt;0,(SUMIFS(Effektmåling!$J$178:$J$182,Effektmåling!$D$178:$D$182,$B112,$AH$120:$AH$124,BB$3))*-AU112,"")</f>
        <v/>
      </c>
      <c r="BC112" s="29" t="str">
        <f>IF((SUMIFS(Effektmåling!$J$178:$J$182,Effektmåling!$D$178:$D$182,$B112,$AH$120:$AH$124,BC$3))&lt;&gt;0,(SUMIFS(Effektmåling!$J$178:$J$182,Effektmåling!$D$178:$D$182,$B112,$AH$120:$AH$124,BC$3))*-AV112,"")</f>
        <v/>
      </c>
      <c r="BD112" s="29" t="str">
        <f>IF((SUMIFS(Effektmåling!$J$178:$J$182,Effektmåling!$D$178:$D$182,$B112,$AH$120:$AH$124,BD$3))&lt;&gt;0,(SUMIFS(Effektmåling!$J$178:$J$182,Effektmåling!$D$178:$D$182,$B112,$AH$120:$AH$124,BD$3))*-AW112,"")</f>
        <v/>
      </c>
      <c r="BE112" s="29" t="str">
        <f>IF((SUMIFS(Effektmåling!$J$178:$J$182,Effektmåling!$D$178:$D$182,$B112,$AH$120:$AH$124,BE$3))&lt;&gt;0,(SUMIFS(Effektmåling!$J$178:$J$182,Effektmåling!$D$178:$D$182,$B112,$AH$120:$AH$124,BE$3))*-AX112,"")</f>
        <v/>
      </c>
      <c r="BF112" s="29" t="str">
        <f>IF((SUMIFS(Effektmåling!$J$178:$J$182,Effektmåling!$D$178:$D$182,$B112,$AH$120:$AH$124,BF$3))&lt;&gt;0,(SUMIFS(Effektmåling!$J$178:$J$182,Effektmåling!$D$178:$D$182,$B112,$AH$120:$AH$124,BF$3))*-AY112,"")</f>
        <v/>
      </c>
      <c r="BG112" s="29"/>
      <c r="BH112" s="29" t="str">
        <f>IF((SUMIFS(Effektmåling!$J$163:$J$167,Effektmåling!$D$163:$D$167,$B112,$AO$120:$AO$124,BH$3))&lt;&gt;0,(SUMIFS(Effektmåling!$J$163:$J$167,Effektmåling!$D$163:$D$167,$B112,$AO$120:$AO$124,BH$3))*-AT112,"")</f>
        <v/>
      </c>
      <c r="BI112" s="29" t="str">
        <f>IF((SUMIFS(Effektmåling!$J$163:$J$167,Effektmåling!$D$163:$D$167,$B112,$AO$120:$AO$124,BI$3))&lt;&gt;0,(SUMIFS(Effektmåling!$J$163:$J$167,Effektmåling!$D$163:$D$167,$B112,$AO$120:$AO$124,BI$3))*-AU112,"")</f>
        <v/>
      </c>
      <c r="BJ112" s="29" t="str">
        <f>IF((SUMIFS(Effektmåling!$J$163:$J$167,Effektmåling!$D$163:$D$167,$B112,$AO$120:$AO$124,BJ$3))&lt;&gt;0,(SUMIFS(Effektmåling!$J$163:$J$167,Effektmåling!$D$163:$D$167,$B112,$AO$120:$AO$124,BJ$3))*-AV112,"")</f>
        <v/>
      </c>
      <c r="BK112" s="29" t="str">
        <f>IF((SUMIFS(Effektmåling!$J$163:$J$167,Effektmåling!$D$163:$D$167,$B112,$AO$120:$AO$124,BK$3))&lt;&gt;0,(SUMIFS(Effektmåling!$J$163:$J$167,Effektmåling!$D$163:$D$167,$B112,$AO$120:$AO$124,BK$3))*-AW112,"")</f>
        <v/>
      </c>
      <c r="BL112" s="29" t="str">
        <f>IF((SUMIFS(Effektmåling!$J$163:$J$167,Effektmåling!$D$163:$D$167,$B112,$AO$120:$AO$124,BL$3))&lt;&gt;0,(SUMIFS(Effektmåling!$J$163:$J$167,Effektmåling!$D$163:$D$167,$B112,$AO$120:$AO$124,BL$3))*-AX112,"")</f>
        <v/>
      </c>
      <c r="BM112" s="29" t="str">
        <f>IF((SUMIFS(Effektmåling!$J$163:$J$167,Effektmåling!$D$163:$D$167,$B112,$AO$120:$AO$124,BM$3))&lt;&gt;0,(SUMIFS(Effektmåling!$J$163:$J$167,Effektmåling!$D$163:$D$167,$B112,$AO$120:$AO$124,BM$3))*-AY112,"")</f>
        <v/>
      </c>
    </row>
    <row r="113" spans="1:65" x14ac:dyDescent="0.15">
      <c r="A113" s="474">
        <f t="shared" si="75"/>
        <v>49</v>
      </c>
      <c r="B113" s="150" t="s">
        <v>294</v>
      </c>
      <c r="C113" s="18" t="s">
        <v>245</v>
      </c>
      <c r="D113" s="18" t="s">
        <v>245</v>
      </c>
      <c r="E113" s="18" t="s">
        <v>245</v>
      </c>
      <c r="F113" s="18" t="s">
        <v>245</v>
      </c>
      <c r="G113" s="18" t="s">
        <v>245</v>
      </c>
      <c r="H113" s="18" t="s">
        <v>245</v>
      </c>
      <c r="I113" s="18" t="s">
        <v>245</v>
      </c>
      <c r="J113" s="18" t="s">
        <v>245</v>
      </c>
      <c r="K113" s="18" t="s">
        <v>245</v>
      </c>
      <c r="L113" s="18" t="s">
        <v>245</v>
      </c>
      <c r="M113" s="18" t="s">
        <v>245</v>
      </c>
      <c r="N113" s="48"/>
      <c r="O113" s="149"/>
      <c r="P113" s="480"/>
      <c r="Q113" s="480"/>
      <c r="R113" s="480"/>
      <c r="S113" s="480"/>
      <c r="T113" s="480"/>
      <c r="AE113" s="474">
        <f t="shared" si="76"/>
        <v>47</v>
      </c>
      <c r="AF113" s="45"/>
      <c r="AG113" s="45"/>
      <c r="AH113" s="45"/>
      <c r="AI113" s="45"/>
      <c r="AJ113" s="45"/>
      <c r="AK113" s="45"/>
      <c r="AM113" s="45"/>
      <c r="AN113" s="45"/>
      <c r="AO113" s="45"/>
      <c r="AP113" s="45"/>
      <c r="AQ113" s="45"/>
      <c r="AR113" s="45"/>
      <c r="AT113" s="47"/>
      <c r="AU113" s="149"/>
      <c r="AV113" s="51"/>
      <c r="AW113" s="149"/>
      <c r="AX113" s="51"/>
      <c r="AY113" s="51"/>
      <c r="BA113" s="45"/>
      <c r="BB113" s="45"/>
      <c r="BC113" s="45"/>
      <c r="BD113" s="45"/>
      <c r="BE113" s="45"/>
      <c r="BF113" s="45"/>
      <c r="BH113" s="45"/>
      <c r="BI113" s="45"/>
      <c r="BJ113" s="45"/>
      <c r="BK113" s="45"/>
      <c r="BL113" s="45"/>
      <c r="BM113" s="45"/>
    </row>
    <row r="114" spans="1:65" x14ac:dyDescent="0.15">
      <c r="A114" s="474">
        <f t="shared" si="75"/>
        <v>50</v>
      </c>
      <c r="B114" s="48" t="str">
        <f>Dropdowns!D52</f>
        <v>Materiale 1</v>
      </c>
      <c r="C114" s="48">
        <v>1</v>
      </c>
      <c r="D114" s="48">
        <v>0</v>
      </c>
      <c r="E114" s="48">
        <v>0</v>
      </c>
      <c r="F114" s="48">
        <f>'Egne Materialer'!J19</f>
        <v>0</v>
      </c>
      <c r="G114" s="48">
        <f>'Egne Materialer'!K19</f>
        <v>0</v>
      </c>
      <c r="H114" s="48">
        <f>'Egne Materialer'!L19</f>
        <v>0</v>
      </c>
      <c r="I114" s="48">
        <v>0</v>
      </c>
      <c r="J114" s="48">
        <v>0</v>
      </c>
      <c r="K114" s="48">
        <f>'Egne Materialer'!O19</f>
        <v>0</v>
      </c>
      <c r="L114" s="48">
        <f>'Egne Materialer'!P19</f>
        <v>0</v>
      </c>
      <c r="M114" s="48">
        <f>'Egne Materialer'!Q19</f>
        <v>0</v>
      </c>
      <c r="N114" s="48"/>
      <c r="O114" s="40">
        <f>F114-E114</f>
        <v>0</v>
      </c>
      <c r="P114" s="480">
        <f>(IF(Effektmåling!$Q$241="Ja",-0.3*'DB materialer'!D54+G114,G114))-E114</f>
        <v>0</v>
      </c>
      <c r="Q114" s="480">
        <f>(IF(Effektmåling!$Q$241="Ja",1.3*H114,H114))-E114</f>
        <v>0</v>
      </c>
      <c r="R114" s="480">
        <f>(IF(Effektmåling!$Q$241="Ja",-0.3*'DB materialer'!D54+G114,G114))-F114</f>
        <v>0</v>
      </c>
      <c r="S114" s="480">
        <f>(IF(Effektmåling!$Q$241="Ja",1.3*H114,H114))-F114</f>
        <v>0</v>
      </c>
      <c r="T114" s="480">
        <f>(IF(Effektmåling!$Q$241="Ja",1.3*H114,H114))-(IF(Effektmåling!$Q$241="Ja",-0.3*'DB materialer'!D54+G114,G114))</f>
        <v>0</v>
      </c>
      <c r="AE114" s="474">
        <f t="shared" si="76"/>
        <v>48</v>
      </c>
      <c r="AF114" s="29" t="str">
        <f>IF((SUMIFS(Effektmåling!$J$178:$J$182,Effektmåling!$D$178:$D$182,$B114,$AH$120:$AH$124,'DB materialer'!AF$3))&lt;&gt;0,(SUMIFS(Effektmåling!$J$178:$J$182,Effektmåling!$D$178:$D$182,$B114,$AH$120:$AH$124,'DB materialer'!AF$3))*-O114,"")</f>
        <v/>
      </c>
      <c r="AG114" s="29" t="str">
        <f>IF((SUMIFS(Effektmåling!$J$178:$J$182,Effektmåling!$D$178:$D$182,$B114,$AH$120:$AH$124,'DB materialer'!AG$3))&lt;&gt;0,(SUMIFS(Effektmåling!$J$178:$J$182,Effektmåling!$D$178:$D$182,$B114,$AH$120:$AH$124,'DB materialer'!AG$3))*-P114,"")</f>
        <v/>
      </c>
      <c r="AH114" s="29" t="str">
        <f>IF((SUMIFS(Effektmåling!$J$178:$J$182,Effektmåling!$D$178:$D$182,$B114,$AH$120:$AH$124,'DB materialer'!AH$3))&lt;&gt;0,(SUMIFS(Effektmåling!$J$178:$J$182,Effektmåling!$D$178:$D$182,$B114,$AH$120:$AH$124,'DB materialer'!AH$3))*-Q114,"")</f>
        <v/>
      </c>
      <c r="AI114" s="29" t="str">
        <f>IF((SUMIFS(Effektmåling!$J$178:$J$182,Effektmåling!$D$178:$D$182,$B114,$AH$120:$AH$124,'DB materialer'!AI$3))&lt;&gt;0,(SUMIFS(Effektmåling!$J$178:$J$182,Effektmåling!$D$178:$D$182,$B114,$AH$120:$AH$124,'DB materialer'!AI$3))*-R114,"")</f>
        <v/>
      </c>
      <c r="AJ114" s="29" t="str">
        <f>IF((SUMIFS(Effektmåling!$J$178:$J$182,Effektmåling!$D$178:$D$182,$B114,$AH$120:$AH$124,'DB materialer'!AJ$3))&lt;&gt;0,(SUMIFS(Effektmåling!$J$178:$J$182,Effektmåling!$D$178:$D$182,$B114,$AH$120:$AH$124,'DB materialer'!AJ$3))*-S114,"")</f>
        <v/>
      </c>
      <c r="AK114" s="29" t="str">
        <f>IF((SUMIFS(Effektmåling!$J$178:$J$182,Effektmåling!$D$178:$D$182,$B114,$AH$120:$AH$124,'DB materialer'!AK$3))&lt;&gt;0,(SUMIFS(Effektmåling!$J$178:$J$182,Effektmåling!$D$178:$D$182,$B114,$AH$120:$AH$124,'DB materialer'!AK$3))*-T114,"")</f>
        <v/>
      </c>
      <c r="AM114" s="29" t="str">
        <f>IF((SUMIFS(Effektmåling!$J$163:$J$167,Effektmåling!$D$163:$D$167,$B114,$AO$120:$AO$124,'DB materialer'!AM$3))&lt;&gt;0,(SUMIFS(Effektmåling!$J$163:$J$167,Effektmåling!$D$163:$D$167,$B114,$AO$120:$AO$124,'DB materialer'!AM$3))*(-O114)*($C$122),"")</f>
        <v/>
      </c>
      <c r="AN114" s="29" t="str">
        <f>IF((SUMIFS(Effektmåling!$J$163:$J$167,Effektmåling!$D$163:$D$167,$B114,$AO$120:$AO$124,'DB materialer'!AN$3))&lt;&gt;0,(SUMIFS(Effektmåling!$J$163:$J$167,Effektmåling!$D$163:$D$167,$B114,$AO$120:$AO$124,'DB materialer'!AN$3))*(-P114)*($C$122),"")</f>
        <v/>
      </c>
      <c r="AO114" s="29" t="str">
        <f>IF((SUMIFS(Effektmåling!$J$163:$J$167,Effektmåling!$D$163:$D$167,$B114,$AO$120:$AO$124,'DB materialer'!AO$3))&lt;&gt;0,(SUMIFS(Effektmåling!$J$163:$J$167,Effektmåling!$D$163:$D$167,$B114,$AO$120:$AO$124,'DB materialer'!AO$3))*(-Q114)*($C$122),"")</f>
        <v/>
      </c>
      <c r="AP114" s="29" t="str">
        <f>IF((SUMIFS(Effektmåling!$J$163:$J$167,Effektmåling!$D$163:$D$167,$B114,$AO$120:$AO$124,'DB materialer'!AP$3))&lt;&gt;0,(SUMIFS(Effektmåling!$J$163:$J$167,Effektmåling!$D$163:$D$167,$B114,$AO$120:$AO$124,'DB materialer'!AP$3))*(-R114)*($C$122),"")</f>
        <v/>
      </c>
      <c r="AQ114" s="29" t="str">
        <f>IF((SUMIFS(Effektmåling!$J$163:$J$167,Effektmåling!$D$163:$D$167,$B114,$AO$120:$AO$124,'DB materialer'!AQ$3))&lt;&gt;0,(SUMIFS(Effektmåling!$J$163:$J$167,Effektmåling!$D$163:$D$167,$B114,$AO$120:$AO$124,'DB materialer'!AQ$3))*(-S114)*($C$122),"")</f>
        <v/>
      </c>
      <c r="AR114" s="29" t="str">
        <f>IF((SUMIFS(Effektmåling!$J$163:$J$167,Effektmåling!$D$163:$D$167,$B114,$AO$120:$AO$124,'DB materialer'!AR$3))&lt;&gt;0,(SUMIFS(Effektmåling!$J$163:$J$167,Effektmåling!$D$163:$D$167,$B114,$AO$120:$AO$124,'DB materialer'!AR$3))*(-T114)*($C$122),"")</f>
        <v/>
      </c>
      <c r="AT114" s="30">
        <f>IF((K114-J114)=0,1E-30,K114-J114)</f>
        <v>1.0000000000000001E-30</v>
      </c>
      <c r="AU114" s="40">
        <f>IF((L114-J114)=0,1E-30,L114-J114)</f>
        <v>1.0000000000000001E-30</v>
      </c>
      <c r="AV114" s="41">
        <f>IF((M114-J114)=0,1E-30,M114-J114)</f>
        <v>1.0000000000000001E-30</v>
      </c>
      <c r="AW114" s="40">
        <f>IF((L114-K114)=0,1E-30,L114-K114)</f>
        <v>1.0000000000000001E-30</v>
      </c>
      <c r="AX114" s="41">
        <f>IF((M114-K114)=0,1E-30,M114-K114)</f>
        <v>1.0000000000000001E-30</v>
      </c>
      <c r="AY114" s="41">
        <f>IF((M114-L114)=0,1E-30,M114-L114)</f>
        <v>1.0000000000000001E-30</v>
      </c>
      <c r="BA114" s="29" t="str">
        <f>IF((SUMIFS(Effektmåling!$J$178:$J$182,Effektmåling!$D$178:$D$182,$B114,$AH$120:$AH$124,BA$3))&lt;&gt;0,(SUMIFS(Effektmåling!$J$178:$J$182,Effektmåling!$D$178:$D$182,$B114,$AH$120:$AH$124,BA$3))*-AT114,"")</f>
        <v/>
      </c>
      <c r="BB114" s="29" t="str">
        <f>IF((SUMIFS(Effektmåling!$J$178:$J$182,Effektmåling!$D$178:$D$182,$B114,$AH$120:$AH$124,BB$3))&lt;&gt;0,(SUMIFS(Effektmåling!$J$178:$J$182,Effektmåling!$D$178:$D$182,$B114,$AH$120:$AH$124,BB$3))*-AU114,"")</f>
        <v/>
      </c>
      <c r="BC114" s="29" t="str">
        <f>IF((SUMIFS(Effektmåling!$J$178:$J$182,Effektmåling!$D$178:$D$182,$B114,$AH$120:$AH$124,BC$3))&lt;&gt;0,(SUMIFS(Effektmåling!$J$178:$J$182,Effektmåling!$D$178:$D$182,$B114,$AH$120:$AH$124,BC$3))*-AV114,"")</f>
        <v/>
      </c>
      <c r="BD114" s="29" t="str">
        <f>IF((SUMIFS(Effektmåling!$J$178:$J$182,Effektmåling!$D$178:$D$182,$B114,$AH$120:$AH$124,BD$3))&lt;&gt;0,(SUMIFS(Effektmåling!$J$178:$J$182,Effektmåling!$D$178:$D$182,$B114,$AH$120:$AH$124,BD$3))*-AW114,"")</f>
        <v/>
      </c>
      <c r="BE114" s="29" t="str">
        <f>IF((SUMIFS(Effektmåling!$J$178:$J$182,Effektmåling!$D$178:$D$182,$B114,$AH$120:$AH$124,BE$3))&lt;&gt;0,(SUMIFS(Effektmåling!$J$178:$J$182,Effektmåling!$D$178:$D$182,$B114,$AH$120:$AH$124,BE$3))*-AX114,"")</f>
        <v/>
      </c>
      <c r="BF114" s="29" t="str">
        <f>IF((SUMIFS(Effektmåling!$J$178:$J$182,Effektmåling!$D$178:$D$182,$B114,$AH$120:$AH$124,BF$3))&lt;&gt;0,(SUMIFS(Effektmåling!$J$178:$J$182,Effektmåling!$D$178:$D$182,$B114,$AH$120:$AH$124,BF$3))*-AY114,"")</f>
        <v/>
      </c>
      <c r="BH114" s="29" t="str">
        <f>IF((SUMIFS(Effektmåling!$J$163:$J$167,Effektmåling!$D$163:$D$167,$B114,$AO$120:$AO$124,BH$3))&lt;&gt;0,(SUMIFS(Effektmåling!$J$163:$J$167,Effektmåling!$D$163:$D$167,$B114,$AO$120:$AO$124,BH$3))*-AT114,"")</f>
        <v/>
      </c>
      <c r="BI114" s="29" t="str">
        <f>IF((SUMIFS(Effektmåling!$J$163:$J$167,Effektmåling!$D$163:$D$167,$B114,$AO$120:$AO$124,BI$3))&lt;&gt;0,(SUMIFS(Effektmåling!$J$163:$J$167,Effektmåling!$D$163:$D$167,$B114,$AO$120:$AO$124,BI$3))*-AU114,"")</f>
        <v/>
      </c>
      <c r="BJ114" s="29" t="str">
        <f>IF((SUMIFS(Effektmåling!$J$163:$J$167,Effektmåling!$D$163:$D$167,$B114,$AO$120:$AO$124,BJ$3))&lt;&gt;0,(SUMIFS(Effektmåling!$J$163:$J$167,Effektmåling!$D$163:$D$167,$B114,$AO$120:$AO$124,BJ$3))*-AV114,"")</f>
        <v/>
      </c>
      <c r="BK114" s="29" t="str">
        <f>IF((SUMIFS(Effektmåling!$J$163:$J$167,Effektmåling!$D$163:$D$167,$B114,$AO$120:$AO$124,BK$3))&lt;&gt;0,(SUMIFS(Effektmåling!$J$163:$J$167,Effektmåling!$D$163:$D$167,$B114,$AO$120:$AO$124,BK$3))*-AW114,"")</f>
        <v/>
      </c>
      <c r="BL114" s="29" t="str">
        <f>IF((SUMIFS(Effektmåling!$J$163:$J$167,Effektmåling!$D$163:$D$167,$B114,$AO$120:$AO$124,BL$3))&lt;&gt;0,(SUMIFS(Effektmåling!$J$163:$J$167,Effektmåling!$D$163:$D$167,$B114,$AO$120:$AO$124,BL$3))*-AX114,"")</f>
        <v/>
      </c>
      <c r="BM114" s="29" t="str">
        <f>IF((SUMIFS(Effektmåling!$J$163:$J$167,Effektmåling!$D$163:$D$167,$B114,$AO$120:$AO$124,BM$3))&lt;&gt;0,(SUMIFS(Effektmåling!$J$163:$J$167,Effektmåling!$D$163:$D$167,$B114,$AO$120:$AO$124,BM$3))*-AY114,"")</f>
        <v/>
      </c>
    </row>
    <row r="115" spans="1:65" x14ac:dyDescent="0.15">
      <c r="A115" s="474">
        <f t="shared" si="75"/>
        <v>51</v>
      </c>
      <c r="B115" s="48" t="str">
        <f>Dropdowns!D53</f>
        <v>Materiale 2</v>
      </c>
      <c r="C115" s="48">
        <v>1</v>
      </c>
      <c r="D115" s="48">
        <v>0</v>
      </c>
      <c r="E115" s="48">
        <v>0</v>
      </c>
      <c r="F115" s="48">
        <f>'Egne Materialer'!J34</f>
        <v>0</v>
      </c>
      <c r="G115" s="48">
        <f>'Egne Materialer'!K34</f>
        <v>0</v>
      </c>
      <c r="H115" s="48">
        <f>'Egne Materialer'!L34</f>
        <v>0</v>
      </c>
      <c r="I115" s="48">
        <v>0</v>
      </c>
      <c r="J115" s="48">
        <v>0</v>
      </c>
      <c r="K115" s="48">
        <f>'Egne Materialer'!O34</f>
        <v>0</v>
      </c>
      <c r="L115" s="48">
        <f>'Egne Materialer'!P34</f>
        <v>0</v>
      </c>
      <c r="M115" s="48">
        <f>'Egne Materialer'!Q34</f>
        <v>0</v>
      </c>
      <c r="N115" s="48"/>
      <c r="O115" s="40">
        <f>F115-E115</f>
        <v>0</v>
      </c>
      <c r="P115" s="480">
        <f>(IF(Effektmåling!$Q$241="Ja",-0.3*'DB materialer'!D55+G115,G115))-E115</f>
        <v>0</v>
      </c>
      <c r="Q115" s="480">
        <f>(IF(Effektmåling!$Q$241="Ja",1.3*H115,H115))-E115</f>
        <v>0</v>
      </c>
      <c r="R115" s="480">
        <f>(IF(Effektmåling!$Q$241="Ja",-0.3*'DB materialer'!D55+G115,G115))-F115</f>
        <v>0</v>
      </c>
      <c r="S115" s="480">
        <f>(IF(Effektmåling!$Q$241="Ja",1.3*H115,H115))-F115</f>
        <v>0</v>
      </c>
      <c r="T115" s="480">
        <f>(IF(Effektmåling!$Q$241="Ja",1.3*H115,H115))-(IF(Effektmåling!$Q$241="Ja",-0.3*'DB materialer'!D55+G115,G115))</f>
        <v>0</v>
      </c>
      <c r="AE115" s="474">
        <f t="shared" si="76"/>
        <v>49</v>
      </c>
      <c r="AF115" s="29" t="str">
        <f>IF((SUMIFS(Effektmåling!$J$178:$J$182,Effektmåling!$D$178:$D$182,$B115,$AH$120:$AH$124,'DB materialer'!AF$3))&lt;&gt;0,(SUMIFS(Effektmåling!$J$178:$J$182,Effektmåling!$D$178:$D$182,$B115,$AH$120:$AH$124,'DB materialer'!AF$3))*-O115,"")</f>
        <v/>
      </c>
      <c r="AG115" s="29" t="str">
        <f>IF((SUMIFS(Effektmåling!$J$178:$J$182,Effektmåling!$D$178:$D$182,$B115,$AH$120:$AH$124,'DB materialer'!AG$3))&lt;&gt;0,(SUMIFS(Effektmåling!$J$178:$J$182,Effektmåling!$D$178:$D$182,$B115,$AH$120:$AH$124,'DB materialer'!AG$3))*-P115,"")</f>
        <v/>
      </c>
      <c r="AH115" s="29" t="str">
        <f>IF((SUMIFS(Effektmåling!$J$178:$J$182,Effektmåling!$D$178:$D$182,$B115,$AH$120:$AH$124,'DB materialer'!AH$3))&lt;&gt;0,(SUMIFS(Effektmåling!$J$178:$J$182,Effektmåling!$D$178:$D$182,$B115,$AH$120:$AH$124,'DB materialer'!AH$3))*-Q115,"")</f>
        <v/>
      </c>
      <c r="AI115" s="29" t="str">
        <f>IF((SUMIFS(Effektmåling!$J$178:$J$182,Effektmåling!$D$178:$D$182,$B115,$AH$120:$AH$124,'DB materialer'!AI$3))&lt;&gt;0,(SUMIFS(Effektmåling!$J$178:$J$182,Effektmåling!$D$178:$D$182,$B115,$AH$120:$AH$124,'DB materialer'!AI$3))*-R115,"")</f>
        <v/>
      </c>
      <c r="AJ115" s="29" t="str">
        <f>IF((SUMIFS(Effektmåling!$J$178:$J$182,Effektmåling!$D$178:$D$182,$B115,$AH$120:$AH$124,'DB materialer'!AJ$3))&lt;&gt;0,(SUMIFS(Effektmåling!$J$178:$J$182,Effektmåling!$D$178:$D$182,$B115,$AH$120:$AH$124,'DB materialer'!AJ$3))*-S115,"")</f>
        <v/>
      </c>
      <c r="AK115" s="29" t="str">
        <f>IF((SUMIFS(Effektmåling!$J$178:$J$182,Effektmåling!$D$178:$D$182,$B115,$AH$120:$AH$124,'DB materialer'!AK$3))&lt;&gt;0,(SUMIFS(Effektmåling!$J$178:$J$182,Effektmåling!$D$178:$D$182,$B115,$AH$120:$AH$124,'DB materialer'!AK$3))*-T115,"")</f>
        <v/>
      </c>
      <c r="AM115" s="29" t="str">
        <f>IF((SUMIFS(Effektmåling!$J$163:$J$167,Effektmåling!$D$163:$D$167,$B115,$AO$120:$AO$124,'DB materialer'!AM$3))&lt;&gt;0,(SUMIFS(Effektmåling!$J$163:$J$167,Effektmåling!$D$163:$D$167,$B115,$AO$120:$AO$124,'DB materialer'!AM$3))*(-O115)*($C$122),"")</f>
        <v/>
      </c>
      <c r="AN115" s="29" t="str">
        <f>IF((SUMIFS(Effektmåling!$J$163:$J$167,Effektmåling!$D$163:$D$167,$B115,$AO$120:$AO$124,'DB materialer'!AN$3))&lt;&gt;0,(SUMIFS(Effektmåling!$J$163:$J$167,Effektmåling!$D$163:$D$167,$B115,$AO$120:$AO$124,'DB materialer'!AN$3))*(-P115)*($C$122),"")</f>
        <v/>
      </c>
      <c r="AO115" s="29" t="str">
        <f>IF((SUMIFS(Effektmåling!$J$163:$J$167,Effektmåling!$D$163:$D$167,$B115,$AO$120:$AO$124,'DB materialer'!AO$3))&lt;&gt;0,(SUMIFS(Effektmåling!$J$163:$J$167,Effektmåling!$D$163:$D$167,$B115,$AO$120:$AO$124,'DB materialer'!AO$3))*(-Q115)*($C$122),"")</f>
        <v/>
      </c>
      <c r="AP115" s="29" t="str">
        <f>IF((SUMIFS(Effektmåling!$J$163:$J$167,Effektmåling!$D$163:$D$167,$B115,$AO$120:$AO$124,'DB materialer'!AP$3))&lt;&gt;0,(SUMIFS(Effektmåling!$J$163:$J$167,Effektmåling!$D$163:$D$167,$B115,$AO$120:$AO$124,'DB materialer'!AP$3))*(-R115)*($C$122),"")</f>
        <v/>
      </c>
      <c r="AQ115" s="29" t="str">
        <f>IF((SUMIFS(Effektmåling!$J$163:$J$167,Effektmåling!$D$163:$D$167,$B115,$AO$120:$AO$124,'DB materialer'!AQ$3))&lt;&gt;0,(SUMIFS(Effektmåling!$J$163:$J$167,Effektmåling!$D$163:$D$167,$B115,$AO$120:$AO$124,'DB materialer'!AQ$3))*(-S115)*($C$122),"")</f>
        <v/>
      </c>
      <c r="AR115" s="29" t="str">
        <f>IF((SUMIFS(Effektmåling!$J$163:$J$167,Effektmåling!$D$163:$D$167,$B115,$AO$120:$AO$124,'DB materialer'!AR$3))&lt;&gt;0,(SUMIFS(Effektmåling!$J$163:$J$167,Effektmåling!$D$163:$D$167,$B115,$AO$120:$AO$124,'DB materialer'!AR$3))*(-T115)*($C$122),"")</f>
        <v/>
      </c>
      <c r="AT115" s="30">
        <f>IF((K115-J115)=0,1E-30,K115-J115)</f>
        <v>1.0000000000000001E-30</v>
      </c>
      <c r="AU115" s="40">
        <f>IF((L115-J115)=0,1E-30,L115-J115)</f>
        <v>1.0000000000000001E-30</v>
      </c>
      <c r="AV115" s="41">
        <f>IF((M115-J115)=0,1E-30,M115-J115)</f>
        <v>1.0000000000000001E-30</v>
      </c>
      <c r="AW115" s="40">
        <f>IF((L115-K115)=0,1E-30,L115-K115)</f>
        <v>1.0000000000000001E-30</v>
      </c>
      <c r="AX115" s="41">
        <f>IF((M115-K115)=0,1E-30,M115-K115)</f>
        <v>1.0000000000000001E-30</v>
      </c>
      <c r="AY115" s="41">
        <f>IF((M115-L115)=0,1E-30,M115-L115)</f>
        <v>1.0000000000000001E-30</v>
      </c>
      <c r="BA115" s="29" t="str">
        <f>IF((SUMIFS(Effektmåling!$J$178:$J$182,Effektmåling!$D$178:$D$182,$B115,$AH$120:$AH$124,BA$3))&lt;&gt;0,(SUMIFS(Effektmåling!$J$178:$J$182,Effektmåling!$D$178:$D$182,$B115,$AH$120:$AH$124,BA$3))*-AT115,"")</f>
        <v/>
      </c>
      <c r="BB115" s="29" t="str">
        <f>IF((SUMIFS(Effektmåling!$J$178:$J$182,Effektmåling!$D$178:$D$182,$B115,$AH$120:$AH$124,BB$3))&lt;&gt;0,(SUMIFS(Effektmåling!$J$178:$J$182,Effektmåling!$D$178:$D$182,$B115,$AH$120:$AH$124,BB$3))*-AU115,"")</f>
        <v/>
      </c>
      <c r="BC115" s="29" t="str">
        <f>IF((SUMIFS(Effektmåling!$J$178:$J$182,Effektmåling!$D$178:$D$182,$B115,$AH$120:$AH$124,BC$3))&lt;&gt;0,(SUMIFS(Effektmåling!$J$178:$J$182,Effektmåling!$D$178:$D$182,$B115,$AH$120:$AH$124,BC$3))*-AV115,"")</f>
        <v/>
      </c>
      <c r="BD115" s="29" t="str">
        <f>IF((SUMIFS(Effektmåling!$J$178:$J$182,Effektmåling!$D$178:$D$182,$B115,$AH$120:$AH$124,BD$3))&lt;&gt;0,(SUMIFS(Effektmåling!$J$178:$J$182,Effektmåling!$D$178:$D$182,$B115,$AH$120:$AH$124,BD$3))*-AW115,"")</f>
        <v/>
      </c>
      <c r="BE115" s="29" t="str">
        <f>IF((SUMIFS(Effektmåling!$J$178:$J$182,Effektmåling!$D$178:$D$182,$B115,$AH$120:$AH$124,BE$3))&lt;&gt;0,(SUMIFS(Effektmåling!$J$178:$J$182,Effektmåling!$D$178:$D$182,$B115,$AH$120:$AH$124,BE$3))*-AX115,"")</f>
        <v/>
      </c>
      <c r="BF115" s="29" t="str">
        <f>IF((SUMIFS(Effektmåling!$J$178:$J$182,Effektmåling!$D$178:$D$182,$B115,$AH$120:$AH$124,BF$3))&lt;&gt;0,(SUMIFS(Effektmåling!$J$178:$J$182,Effektmåling!$D$178:$D$182,$B115,$AH$120:$AH$124,BF$3))*-AY115,"")</f>
        <v/>
      </c>
      <c r="BH115" s="29" t="str">
        <f>IF((SUMIFS(Effektmåling!$J$163:$J$167,Effektmåling!$D$163:$D$167,$B115,$AO$120:$AO$124,BH$3))&lt;&gt;0,(SUMIFS(Effektmåling!$J$163:$J$167,Effektmåling!$D$163:$D$167,$B115,$AO$120:$AO$124,BH$3))*-AT115,"")</f>
        <v/>
      </c>
      <c r="BI115" s="29" t="str">
        <f>IF((SUMIFS(Effektmåling!$J$163:$J$167,Effektmåling!$D$163:$D$167,$B115,$AO$120:$AO$124,BI$3))&lt;&gt;0,(SUMIFS(Effektmåling!$J$163:$J$167,Effektmåling!$D$163:$D$167,$B115,$AO$120:$AO$124,BI$3))*-AU115,"")</f>
        <v/>
      </c>
      <c r="BJ115" s="29" t="str">
        <f>IF((SUMIFS(Effektmåling!$J$163:$J$167,Effektmåling!$D$163:$D$167,$B115,$AO$120:$AO$124,BJ$3))&lt;&gt;0,(SUMIFS(Effektmåling!$J$163:$J$167,Effektmåling!$D$163:$D$167,$B115,$AO$120:$AO$124,BJ$3))*-AV115,"")</f>
        <v/>
      </c>
      <c r="BK115" s="29" t="str">
        <f>IF((SUMIFS(Effektmåling!$J$163:$J$167,Effektmåling!$D$163:$D$167,$B115,$AO$120:$AO$124,BK$3))&lt;&gt;0,(SUMIFS(Effektmåling!$J$163:$J$167,Effektmåling!$D$163:$D$167,$B115,$AO$120:$AO$124,BK$3))*-AW115,"")</f>
        <v/>
      </c>
      <c r="BL115" s="29" t="str">
        <f>IF((SUMIFS(Effektmåling!$J$163:$J$167,Effektmåling!$D$163:$D$167,$B115,$AO$120:$AO$124,BL$3))&lt;&gt;0,(SUMIFS(Effektmåling!$J$163:$J$167,Effektmåling!$D$163:$D$167,$B115,$AO$120:$AO$124,BL$3))*-AX115,"")</f>
        <v/>
      </c>
      <c r="BM115" s="29" t="str">
        <f>IF((SUMIFS(Effektmåling!$J$163:$J$167,Effektmåling!$D$163:$D$167,$B115,$AO$120:$AO$124,BM$3))&lt;&gt;0,(SUMIFS(Effektmåling!$J$163:$J$167,Effektmåling!$D$163:$D$167,$B115,$AO$120:$AO$124,BM$3))*-AY115,"")</f>
        <v/>
      </c>
    </row>
    <row r="116" spans="1:65" x14ac:dyDescent="0.15">
      <c r="A116" s="474">
        <f t="shared" si="75"/>
        <v>52</v>
      </c>
      <c r="B116" s="50" t="str">
        <f>Dropdowns!D54</f>
        <v>Materiale 3</v>
      </c>
      <c r="C116" s="50">
        <v>1</v>
      </c>
      <c r="D116" s="50">
        <v>0</v>
      </c>
      <c r="E116" s="50">
        <v>0</v>
      </c>
      <c r="F116" s="50">
        <f>'Egne Materialer'!J49</f>
        <v>0</v>
      </c>
      <c r="G116" s="50">
        <f>'Egne Materialer'!K49</f>
        <v>0</v>
      </c>
      <c r="H116" s="50">
        <f>'Egne Materialer'!L49</f>
        <v>0</v>
      </c>
      <c r="I116" s="50">
        <v>0</v>
      </c>
      <c r="J116" s="50">
        <v>0</v>
      </c>
      <c r="K116" s="50">
        <f>'Egne Materialer'!O49</f>
        <v>0</v>
      </c>
      <c r="L116" s="50">
        <f>'Egne Materialer'!P49</f>
        <v>0</v>
      </c>
      <c r="M116" s="50">
        <f>'Egne Materialer'!Q49</f>
        <v>0</v>
      </c>
      <c r="N116" s="48"/>
      <c r="O116" s="116">
        <f>F116-E116</f>
        <v>0</v>
      </c>
      <c r="P116" s="480">
        <f>(IF(Effektmåling!$Q$241="Ja",-0.3*'DB materialer'!D56+G116,G116))-E116</f>
        <v>0</v>
      </c>
      <c r="Q116" s="480">
        <f>(IF(Effektmåling!$Q$241="Ja",1.3*H116,H116))-E116</f>
        <v>0</v>
      </c>
      <c r="R116" s="480">
        <f>(IF(Effektmåling!$Q$241="Ja",-0.3*'DB materialer'!D56+G116,G116))-F116</f>
        <v>0</v>
      </c>
      <c r="S116" s="480">
        <f>(IF(Effektmåling!$Q$241="Ja",1.3*H116,H116))-F116</f>
        <v>0</v>
      </c>
      <c r="T116" s="480">
        <f>(IF(Effektmåling!$Q$241="Ja",1.3*H116,H116))-(IF(Effektmåling!$Q$241="Ja",-0.3*'DB materialer'!D56+G116,G116))</f>
        <v>0</v>
      </c>
      <c r="AE116" s="474">
        <f t="shared" si="76"/>
        <v>50</v>
      </c>
      <c r="AF116" s="17" t="str">
        <f>IF((SUMIFS(Effektmåling!$J$178:$J$182,Effektmåling!$D$178:$D$182,$B116,$AH$120:$AH$124,'DB materialer'!AF$3))&lt;&gt;0,(SUMIFS(Effektmåling!$J$178:$J$182,Effektmåling!$D$178:$D$182,$B116,$AH$120:$AH$124,'DB materialer'!AF$3))*-O116,"")</f>
        <v/>
      </c>
      <c r="AG116" s="17" t="str">
        <f>IF((SUMIFS(Effektmåling!$J$178:$J$182,Effektmåling!$D$178:$D$182,$B116,$AH$120:$AH$124,'DB materialer'!AG$3))&lt;&gt;0,(SUMIFS(Effektmåling!$J$178:$J$182,Effektmåling!$D$178:$D$182,$B116,$AH$120:$AH$124,'DB materialer'!AG$3))*-P116,"")</f>
        <v/>
      </c>
      <c r="AH116" s="17" t="str">
        <f>IF((SUMIFS(Effektmåling!$J$178:$J$182,Effektmåling!$D$178:$D$182,$B116,$AH$120:$AH$124,'DB materialer'!AH$3))&lt;&gt;0,(SUMIFS(Effektmåling!$J$178:$J$182,Effektmåling!$D$178:$D$182,$B116,$AH$120:$AH$124,'DB materialer'!AH$3))*-Q116,"")</f>
        <v/>
      </c>
      <c r="AI116" s="17" t="str">
        <f>IF((SUMIFS(Effektmåling!$J$178:$J$182,Effektmåling!$D$178:$D$182,$B116,$AH$120:$AH$124,'DB materialer'!AI$3))&lt;&gt;0,(SUMIFS(Effektmåling!$J$178:$J$182,Effektmåling!$D$178:$D$182,$B116,$AH$120:$AH$124,'DB materialer'!AI$3))*-R116,"")</f>
        <v/>
      </c>
      <c r="AJ116" s="17" t="str">
        <f>IF((SUMIFS(Effektmåling!$J$178:$J$182,Effektmåling!$D$178:$D$182,$B116,$AH$120:$AH$124,'DB materialer'!AJ$3))&lt;&gt;0,(SUMIFS(Effektmåling!$J$178:$J$182,Effektmåling!$D$178:$D$182,$B116,$AH$120:$AH$124,'DB materialer'!AJ$3))*-S116,"")</f>
        <v/>
      </c>
      <c r="AK116" s="17" t="str">
        <f>IF((SUMIFS(Effektmåling!$J$178:$J$182,Effektmåling!$D$178:$D$182,$B116,$AH$120:$AH$124,'DB materialer'!AK$3))&lt;&gt;0,(SUMIFS(Effektmåling!$J$178:$J$182,Effektmåling!$D$178:$D$182,$B116,$AH$120:$AH$124,'DB materialer'!AK$3))*-T116,"")</f>
        <v/>
      </c>
      <c r="AM116" s="17" t="str">
        <f>IF((SUMIFS(Effektmåling!$J$163:$J$167,Effektmåling!$D$163:$D$167,$B116,$AO$120:$AO$124,'DB materialer'!AM$3))&lt;&gt;0,(SUMIFS(Effektmåling!$J$163:$J$167,Effektmåling!$D$163:$D$167,$B116,$AO$120:$AO$124,'DB materialer'!AM$3))*(-O116)*($C$122),"")</f>
        <v/>
      </c>
      <c r="AN116" s="17" t="str">
        <f>IF((SUMIFS(Effektmåling!$J$163:$J$167,Effektmåling!$D$163:$D$167,$B116,$AO$120:$AO$124,'DB materialer'!AN$3))&lt;&gt;0,(SUMIFS(Effektmåling!$J$163:$J$167,Effektmåling!$D$163:$D$167,$B116,$AO$120:$AO$124,'DB materialer'!AN$3))*(-P116)*($C$122),"")</f>
        <v/>
      </c>
      <c r="AO116" s="17" t="str">
        <f>IF((SUMIFS(Effektmåling!$J$163:$J$167,Effektmåling!$D$163:$D$167,$B116,$AO$120:$AO$124,'DB materialer'!AO$3))&lt;&gt;0,(SUMIFS(Effektmåling!$J$163:$J$167,Effektmåling!$D$163:$D$167,$B116,$AO$120:$AO$124,'DB materialer'!AO$3))*(-Q116)*($C$122),"")</f>
        <v/>
      </c>
      <c r="AP116" s="17" t="str">
        <f>IF((SUMIFS(Effektmåling!$J$163:$J$167,Effektmåling!$D$163:$D$167,$B116,$AO$120:$AO$124,'DB materialer'!AP$3))&lt;&gt;0,(SUMIFS(Effektmåling!$J$163:$J$167,Effektmåling!$D$163:$D$167,$B116,$AO$120:$AO$124,'DB materialer'!AP$3))*(-R116)*($C$122),"")</f>
        <v/>
      </c>
      <c r="AQ116" s="17" t="str">
        <f>IF((SUMIFS(Effektmåling!$J$163:$J$167,Effektmåling!$D$163:$D$167,$B116,$AO$120:$AO$124,'DB materialer'!AQ$3))&lt;&gt;0,(SUMIFS(Effektmåling!$J$163:$J$167,Effektmåling!$D$163:$D$167,$B116,$AO$120:$AO$124,'DB materialer'!AQ$3))*(-S116)*($C$122),"")</f>
        <v/>
      </c>
      <c r="AR116" s="17" t="str">
        <f>IF((SUMIFS(Effektmåling!$J$163:$J$167,Effektmåling!$D$163:$D$167,$B116,$AO$120:$AO$124,'DB materialer'!AR$3))&lt;&gt;0,(SUMIFS(Effektmåling!$J$163:$J$167,Effektmåling!$D$163:$D$167,$B116,$AO$120:$AO$124,'DB materialer'!AR$3))*(-T116)*($C$122),"")</f>
        <v/>
      </c>
      <c r="AT116" s="69">
        <f>IF((K116-J116)=0,1E-30,K116-J116)</f>
        <v>1.0000000000000001E-30</v>
      </c>
      <c r="AU116" s="116">
        <f>IF((L116-J116)=0,1E-30,L116-J116)</f>
        <v>1.0000000000000001E-30</v>
      </c>
      <c r="AV116" s="52">
        <f>IF((M116-J116)=0,1E-30,M116-J116)</f>
        <v>1.0000000000000001E-30</v>
      </c>
      <c r="AW116" s="116">
        <f>IF((L116-K116)=0,1E-30,L116-K116)</f>
        <v>1.0000000000000001E-30</v>
      </c>
      <c r="AX116" s="52">
        <f>IF((M116-K116)=0,1E-30,M116-K116)</f>
        <v>1.0000000000000001E-30</v>
      </c>
      <c r="AY116" s="52">
        <f>IF((M116-L116)=0,1E-30,M116-L116)</f>
        <v>1.0000000000000001E-30</v>
      </c>
      <c r="BA116" s="17" t="str">
        <f>IF((SUMIFS(Effektmåling!$J$178:$J$182,Effektmåling!$D$178:$D$182,$B116,$AH$120:$AH$124,BA$3))&lt;&gt;0,(SUMIFS(Effektmåling!$J$178:$J$182,Effektmåling!$D$178:$D$182,$B116,$AH$120:$AH$124,BA$3))*-AT116,"")</f>
        <v/>
      </c>
      <c r="BB116" s="17" t="str">
        <f>IF((SUMIFS(Effektmåling!$J$178:$J$182,Effektmåling!$D$178:$D$182,$B116,$AH$120:$AH$124,BB$3))&lt;&gt;0,(SUMIFS(Effektmåling!$J$178:$J$182,Effektmåling!$D$178:$D$182,$B116,$AH$120:$AH$124,BB$3))*-AU116,"")</f>
        <v/>
      </c>
      <c r="BC116" s="17" t="str">
        <f>IF((SUMIFS(Effektmåling!$J$178:$J$182,Effektmåling!$D$178:$D$182,$B116,$AH$120:$AH$124,BC$3))&lt;&gt;0,(SUMIFS(Effektmåling!$J$178:$J$182,Effektmåling!$D$178:$D$182,$B116,$AH$120:$AH$124,BC$3))*-AV116,"")</f>
        <v/>
      </c>
      <c r="BD116" s="17" t="str">
        <f>IF((SUMIFS(Effektmåling!$J$178:$J$182,Effektmåling!$D$178:$D$182,$B116,$AH$120:$AH$124,BD$3))&lt;&gt;0,(SUMIFS(Effektmåling!$J$178:$J$182,Effektmåling!$D$178:$D$182,$B116,$AH$120:$AH$124,BD$3))*-AW116,"")</f>
        <v/>
      </c>
      <c r="BE116" s="17" t="str">
        <f>IF((SUMIFS(Effektmåling!$J$178:$J$182,Effektmåling!$D$178:$D$182,$B116,$AH$120:$AH$124,BE$3))&lt;&gt;0,(SUMIFS(Effektmåling!$J$178:$J$182,Effektmåling!$D$178:$D$182,$B116,$AH$120:$AH$124,BE$3))*-AX116,"")</f>
        <v/>
      </c>
      <c r="BF116" s="17" t="str">
        <f>IF((SUMIFS(Effektmåling!$J$178:$J$182,Effektmåling!$D$178:$D$182,$B116,$AH$120:$AH$124,BF$3))&lt;&gt;0,(SUMIFS(Effektmåling!$J$178:$J$182,Effektmåling!$D$178:$D$182,$B116,$AH$120:$AH$124,BF$3))*-AY116,"")</f>
        <v/>
      </c>
      <c r="BH116" s="17" t="str">
        <f>IF((SUMIFS(Effektmåling!$J$163:$J$167,Effektmåling!$D$163:$D$167,$B116,$AO$120:$AO$124,BH$3))&lt;&gt;0,(SUMIFS(Effektmåling!$J$163:$J$167,Effektmåling!$D$163:$D$167,$B116,$AO$120:$AO$124,BH$3))*-AT116,"")</f>
        <v/>
      </c>
      <c r="BI116" s="17" t="str">
        <f>IF((SUMIFS(Effektmåling!$J$163:$J$167,Effektmåling!$D$163:$D$167,$B116,$AO$120:$AO$124,BI$3))&lt;&gt;0,(SUMIFS(Effektmåling!$J$163:$J$167,Effektmåling!$D$163:$D$167,$B116,$AO$120:$AO$124,BI$3))*-AU116,"")</f>
        <v/>
      </c>
      <c r="BJ116" s="17" t="str">
        <f>IF((SUMIFS(Effektmåling!$J$163:$J$167,Effektmåling!$D$163:$D$167,$B116,$AO$120:$AO$124,BJ$3))&lt;&gt;0,(SUMIFS(Effektmåling!$J$163:$J$167,Effektmåling!$D$163:$D$167,$B116,$AO$120:$AO$124,BJ$3))*-AV116,"")</f>
        <v/>
      </c>
      <c r="BK116" s="17" t="str">
        <f>IF((SUMIFS(Effektmåling!$J$163:$J$167,Effektmåling!$D$163:$D$167,$B116,$AO$120:$AO$124,BK$3))&lt;&gt;0,(SUMIFS(Effektmåling!$J$163:$J$167,Effektmåling!$D$163:$D$167,$B116,$AO$120:$AO$124,BK$3))*-AW116,"")</f>
        <v/>
      </c>
      <c r="BL116" s="17" t="str">
        <f>IF((SUMIFS(Effektmåling!$J$163:$J$167,Effektmåling!$D$163:$D$167,$B116,$AO$120:$AO$124,BL$3))&lt;&gt;0,(SUMIFS(Effektmåling!$J$163:$J$167,Effektmåling!$D$163:$D$167,$B116,$AO$120:$AO$124,BL$3))*-AX116,"")</f>
        <v/>
      </c>
      <c r="BM116" s="17" t="str">
        <f>IF((SUMIFS(Effektmåling!$J$163:$J$167,Effektmåling!$D$163:$D$167,$B116,$AO$120:$AO$124,BM$3))&lt;&gt;0,(SUMIFS(Effektmåling!$J$163:$J$167,Effektmåling!$D$163:$D$167,$B116,$AO$120:$AO$124,BM$3))*-AY116,"")</f>
        <v/>
      </c>
    </row>
    <row r="117" spans="1:65" x14ac:dyDescent="0.15">
      <c r="H117" s="465"/>
      <c r="J117" s="465"/>
      <c r="K117" s="465"/>
      <c r="L117" s="465"/>
      <c r="M117" s="465"/>
      <c r="N117" s="48"/>
    </row>
    <row r="118" spans="1:65" x14ac:dyDescent="0.15">
      <c r="B118" s="59" t="s">
        <v>302</v>
      </c>
      <c r="C118" s="17"/>
      <c r="D118" s="17"/>
      <c r="E118" s="17"/>
      <c r="F118" s="17"/>
      <c r="G118" s="17"/>
      <c r="H118" s="465"/>
      <c r="J118" s="465"/>
      <c r="K118" s="465"/>
      <c r="L118" s="465"/>
      <c r="M118" s="465"/>
      <c r="N118" s="48"/>
      <c r="AF118" s="103" t="s">
        <v>303</v>
      </c>
      <c r="AI118" s="17"/>
      <c r="AJ118" s="17"/>
      <c r="AK118" s="17"/>
      <c r="AP118" s="17"/>
      <c r="AQ118" s="17"/>
      <c r="AR118" s="17"/>
      <c r="BA118" s="103" t="s">
        <v>303</v>
      </c>
      <c r="BB118" s="103"/>
      <c r="BC118" s="103"/>
      <c r="BD118" s="17"/>
      <c r="BE118" s="17"/>
      <c r="BH118" s="103" t="s">
        <v>303</v>
      </c>
      <c r="BI118" s="103"/>
      <c r="BJ118" s="17"/>
      <c r="BK118" s="17"/>
      <c r="BL118" s="17"/>
    </row>
    <row r="119" spans="1:65" x14ac:dyDescent="0.15">
      <c r="B119" s="19" t="s">
        <v>304</v>
      </c>
      <c r="C119" s="60" t="str">
        <f>Effektmåling!C119</f>
        <v>over produktets levetid</v>
      </c>
      <c r="N119" s="48"/>
      <c r="AF119" s="904" t="s">
        <v>305</v>
      </c>
      <c r="AG119" s="904"/>
      <c r="AH119" s="230" t="s">
        <v>306</v>
      </c>
      <c r="AI119" s="17" t="s">
        <v>307</v>
      </c>
      <c r="AJ119" s="17" t="s">
        <v>8</v>
      </c>
      <c r="AK119" s="17" t="s">
        <v>230</v>
      </c>
      <c r="AM119" s="904" t="s">
        <v>305</v>
      </c>
      <c r="AN119" s="904"/>
      <c r="AO119" s="230" t="s">
        <v>306</v>
      </c>
      <c r="AP119" s="31" t="s">
        <v>307</v>
      </c>
      <c r="AQ119" s="31" t="s">
        <v>8</v>
      </c>
      <c r="AR119" s="31" t="s">
        <v>230</v>
      </c>
      <c r="BA119" s="903" t="s">
        <v>305</v>
      </c>
      <c r="BB119" s="903"/>
      <c r="BC119" s="42" t="s">
        <v>306</v>
      </c>
      <c r="BD119" s="36" t="s">
        <v>307</v>
      </c>
      <c r="BE119" s="17" t="s">
        <v>243</v>
      </c>
      <c r="BH119" s="903" t="s">
        <v>305</v>
      </c>
      <c r="BI119" s="903"/>
      <c r="BJ119" s="71" t="s">
        <v>306</v>
      </c>
      <c r="BK119" s="37" t="s">
        <v>307</v>
      </c>
      <c r="BL119" s="37"/>
    </row>
    <row r="120" spans="1:65" x14ac:dyDescent="0.15">
      <c r="B120" s="19" t="s">
        <v>308</v>
      </c>
      <c r="C120" s="60">
        <f>Effektmåling!I45</f>
        <v>1</v>
      </c>
      <c r="AD120" s="19" t="e">
        <f>IF(AND(AH120&gt;1,AH120&lt;6),AF120,0)</f>
        <v>#N/A</v>
      </c>
      <c r="AE120" s="19" t="e">
        <f>IF(AND(AH120&gt;1,AH120&lt;6),AG120,0)</f>
        <v>#N/A</v>
      </c>
      <c r="AF120" s="19" t="e">
        <f>IF(AI148=1,AH148,AJ148)</f>
        <v>#N/A</v>
      </c>
      <c r="AG120" s="29">
        <f>Effektmåling!J178</f>
        <v>0</v>
      </c>
      <c r="AH120" s="70" t="e">
        <f>MATCH(Effektmåling!H178,Dropdowns!$L$4:$L$9,0)</f>
        <v>#N/A</v>
      </c>
      <c r="AI120" s="70" t="str">
        <f>IF(Effektmåling!D178="(blank)","",MATCH(Effektmåling!D178,$B$5:$B$56,0))</f>
        <v/>
      </c>
      <c r="AJ120" s="19" t="str">
        <f ca="1">IF(AI120="","",INDIRECT(CONCATENATE("R",4+AI120,"C",31+(7-AH120)),FALSE))</f>
        <v/>
      </c>
      <c r="AK120" s="70" t="str">
        <f ca="1">AK137</f>
        <v/>
      </c>
      <c r="AM120" s="19" t="e">
        <f>IF(AP148=1,AO148,AQ148)</f>
        <v>#N/A</v>
      </c>
      <c r="AN120" s="29">
        <f>Effektmåling!J163</f>
        <v>0</v>
      </c>
      <c r="AO120" s="70" t="e">
        <f>MATCH(Effektmåling!H163,Dropdowns!$L$4:$L$9,0)</f>
        <v>#N/A</v>
      </c>
      <c r="AP120" s="29" t="str">
        <f>IF(Effektmåling!D163="(blank)","",MATCH(Effektmåling!D163,$B$5:$B$56,0))</f>
        <v/>
      </c>
      <c r="AQ120" s="29" t="str">
        <f ca="1">IF(AP120="","",INDIRECT(CONCATENATE("R",4+AP120,"C",38+(7-AO120)),FALSE))</f>
        <v/>
      </c>
      <c r="AR120" s="29" t="str">
        <f ca="1">AR137</f>
        <v/>
      </c>
      <c r="AS120" s="229" t="e">
        <f>IF(AND(AO120&gt;1,AO120&lt;6),AM120,0)</f>
        <v>#N/A</v>
      </c>
      <c r="AT120" s="19" t="e">
        <f>IF(AND(AO120&gt;1,AO120&lt;6),AN120,0)</f>
        <v>#N/A</v>
      </c>
      <c r="BA120" s="70" t="e">
        <f t="shared" ref="BA120:BB124" si="108">AF120</f>
        <v>#N/A</v>
      </c>
      <c r="BB120" s="70">
        <f t="shared" si="108"/>
        <v>0</v>
      </c>
      <c r="BC120" s="70" t="e">
        <f>MATCH(Effektmåling!H178,Dropdowns!$L$4:$L$9,0)</f>
        <v>#N/A</v>
      </c>
      <c r="BD120" s="29" t="str">
        <f>IF(Effektmåling!D178="(blank)","",MATCH(Effektmåling!D178,$B$5:$B$56,0))</f>
        <v/>
      </c>
      <c r="BE120" s="143" t="str">
        <f ca="1">IF(BD120="","",IF(ABS(INDIRECT(CONCATENATE("R",4+BD120,"C",52+(7-BC120)),FALSE))&lt;1E-25,0,INDIRECT(CONCATENATE("R",4+BD120,"C",52+(7-BC120)),FALSE)))</f>
        <v/>
      </c>
      <c r="BH120" s="36" t="e">
        <f t="shared" ref="BH120:BI124" si="109">AM120</f>
        <v>#N/A</v>
      </c>
      <c r="BI120" s="36">
        <f t="shared" si="109"/>
        <v>0</v>
      </c>
      <c r="BJ120" s="29" t="e">
        <f>MATCH(Effektmåling!H163,Dropdowns!$L$4:$L$9,0)</f>
        <v>#N/A</v>
      </c>
      <c r="BK120" s="70" t="str">
        <f>IF(Effektmåling!D163="(blank)","",MATCH(Effektmåling!D163,$B$5:$B$56,0))</f>
        <v/>
      </c>
      <c r="BL120" s="70" t="str">
        <f ca="1">IF(BK120="","",IF(ABS(INDIRECT(CONCATENATE("R",4+BK120,"C",59+(7-BJ120)),FALSE))&lt;1E-25,0,INDIRECT(CONCATENATE("R",4+BK120,"C",59+(7-BJ120)),FALSE)))</f>
        <v/>
      </c>
    </row>
    <row r="121" spans="1:65" x14ac:dyDescent="0.15">
      <c r="B121" s="17" t="s">
        <v>309</v>
      </c>
      <c r="C121" s="62">
        <f>Effektmåling!I44</f>
        <v>1</v>
      </c>
      <c r="D121" s="17"/>
      <c r="E121" s="17"/>
      <c r="F121" s="17"/>
      <c r="G121" s="17"/>
      <c r="H121" s="29"/>
      <c r="J121" s="29"/>
      <c r="K121" s="29"/>
      <c r="L121" s="29"/>
      <c r="M121" s="29"/>
      <c r="AD121" s="19" t="e">
        <f t="shared" ref="AD121:AD124" si="110">IF(AND(AH121&gt;1,AH121&lt;6),AF121,0)</f>
        <v>#N/A</v>
      </c>
      <c r="AE121" s="19" t="e">
        <f t="shared" ref="AE121:AE124" si="111">IF(AND(AH121&gt;1,AH121&lt;6),AG121,0)</f>
        <v>#N/A</v>
      </c>
      <c r="AF121" s="19" t="e">
        <f>IF(AI149=1,AH149,AJ149)</f>
        <v>#N/A</v>
      </c>
      <c r="AG121" s="19">
        <f>Effektmåling!J179</f>
        <v>0</v>
      </c>
      <c r="AH121" s="29" t="e">
        <f>MATCH(Effektmåling!H179,Dropdowns!$L$4:$L$9,0)</f>
        <v>#N/A</v>
      </c>
      <c r="AI121" s="29" t="str">
        <f>IF(Effektmåling!D179="(blank)","",MATCH(Effektmåling!D179,$B$5:$B$56,0))</f>
        <v/>
      </c>
      <c r="AJ121" s="19" t="str">
        <f ca="1">IF(AI121="","",INDIRECT(CONCATENATE("R",4+AI121,"C",31+(7-AH121)),FALSE))</f>
        <v/>
      </c>
      <c r="AK121" s="29" t="str">
        <f ca="1">AK138</f>
        <v/>
      </c>
      <c r="AM121" s="19" t="e">
        <f>IF(AP149=1,AO149,AQ149)</f>
        <v>#N/A</v>
      </c>
      <c r="AN121" s="29">
        <f>Effektmåling!J164</f>
        <v>0</v>
      </c>
      <c r="AO121" s="29" t="e">
        <f>MATCH(Effektmåling!H164,Dropdowns!$L$4:$L$9,0)</f>
        <v>#N/A</v>
      </c>
      <c r="AP121" s="29" t="str">
        <f>IF(Effektmåling!D164="(blank)","",MATCH(Effektmåling!D164,$B$5:$B$56,0))</f>
        <v/>
      </c>
      <c r="AQ121" s="29" t="str">
        <f ca="1">IF(AP121="","",INDIRECT(CONCATENATE("R",4+AP121,"C",38+(7-AO121)),FALSE))</f>
        <v/>
      </c>
      <c r="AR121" s="29" t="str">
        <f ca="1">AR138</f>
        <v/>
      </c>
      <c r="AS121" s="229" t="e">
        <f t="shared" ref="AS121:AS124" si="112">IF(AND(AO121&gt;1,AO121&lt;6),AM121,0)</f>
        <v>#N/A</v>
      </c>
      <c r="AT121" s="19" t="e">
        <f t="shared" ref="AT121:AT124" si="113">IF(AND(AO121&gt;1,AO121&lt;6),AN121,0)</f>
        <v>#N/A</v>
      </c>
      <c r="BA121" s="29" t="e">
        <f t="shared" si="108"/>
        <v>#N/A</v>
      </c>
      <c r="BB121" s="29">
        <f t="shared" si="108"/>
        <v>0</v>
      </c>
      <c r="BC121" s="29" t="e">
        <f>MATCH(Effektmåling!H179,Dropdowns!$L$4:$L$9,0)</f>
        <v>#N/A</v>
      </c>
      <c r="BD121" s="29" t="str">
        <f>IF(Effektmåling!D179="(blank)","",MATCH(Effektmåling!D179,$B$5:$B$56,0))</f>
        <v/>
      </c>
      <c r="BE121" s="144" t="str">
        <f ca="1">IF(BD121="","",IF(ABS(INDIRECT(CONCATENATE("R",4+BD121,"C",52+(7-BC121)),FALSE))&lt;1E-25,0,INDIRECT(CONCATENATE("R",4+BD121,"C",52+(7-BC121)),FALSE)))</f>
        <v/>
      </c>
      <c r="BH121" s="36" t="e">
        <f t="shared" si="109"/>
        <v>#N/A</v>
      </c>
      <c r="BI121" s="36">
        <f t="shared" si="109"/>
        <v>0</v>
      </c>
      <c r="BJ121" s="29" t="e">
        <f>MATCH(Effektmåling!H164,Dropdowns!$L$4:$L$9,0)</f>
        <v>#N/A</v>
      </c>
      <c r="BK121" s="29" t="str">
        <f>IF(Effektmåling!D164="(blank)","",MATCH(Effektmåling!D164,$B$5:$B$56,0))</f>
        <v/>
      </c>
      <c r="BL121" s="29" t="str">
        <f ca="1">IF(BK121="","",IF(ABS(INDIRECT(CONCATENATE("R",4+BK121,"C",59+(7-BJ121)),FALSE))&lt;1E-25,0,INDIRECT(CONCATENATE("R",4+BK121,"C",59+(7-BJ121)),FALSE)))</f>
        <v/>
      </c>
    </row>
    <row r="122" spans="1:65" x14ac:dyDescent="0.15">
      <c r="B122" s="17" t="s">
        <v>310</v>
      </c>
      <c r="C122" s="62">
        <f>IF(C119="over produktets levetid",C121,IF(C119="pr. år",C121*C120,"error"))</f>
        <v>1</v>
      </c>
      <c r="D122" s="17"/>
      <c r="E122" s="17"/>
      <c r="F122" s="17"/>
      <c r="G122" s="17"/>
      <c r="H122" s="29"/>
      <c r="J122" s="29"/>
      <c r="K122" s="29"/>
      <c r="L122" s="29"/>
      <c r="M122" s="29"/>
      <c r="AD122" s="19" t="e">
        <f t="shared" si="110"/>
        <v>#N/A</v>
      </c>
      <c r="AE122" s="19" t="e">
        <f t="shared" si="111"/>
        <v>#N/A</v>
      </c>
      <c r="AF122" s="19" t="e">
        <f>IF(AI150=1,AH150,AJ150)</f>
        <v>#N/A</v>
      </c>
      <c r="AG122" s="19">
        <f>Effektmåling!J180</f>
        <v>0</v>
      </c>
      <c r="AH122" s="29" t="e">
        <f>MATCH(Effektmåling!H180,Dropdowns!$L$4:$L$9,0)</f>
        <v>#N/A</v>
      </c>
      <c r="AI122" s="29" t="str">
        <f>IF(Effektmåling!D180="(blank)","",MATCH(Effektmåling!D180,$B$5:$B$56,0))</f>
        <v/>
      </c>
      <c r="AJ122" s="19" t="str">
        <f ca="1">IF(AI122="","",INDIRECT(CONCATENATE("R",4+AI122,"C",31+(7-AH122)),FALSE))</f>
        <v/>
      </c>
      <c r="AK122" s="29" t="str">
        <f ca="1">AK139</f>
        <v/>
      </c>
      <c r="AM122" s="19" t="e">
        <f>IF(AP150=1,AO150,AQ150)</f>
        <v>#N/A</v>
      </c>
      <c r="AN122" s="29">
        <f>Effektmåling!J165</f>
        <v>0</v>
      </c>
      <c r="AO122" s="29" t="e">
        <f>MATCH(Effektmåling!H165,Dropdowns!$L$4:$L$9,0)</f>
        <v>#N/A</v>
      </c>
      <c r="AP122" s="29" t="str">
        <f>IF(Effektmåling!D165="(blank)","",MATCH(Effektmåling!D165,$B$5:$B$56,0))</f>
        <v/>
      </c>
      <c r="AQ122" s="29" t="str">
        <f ca="1">IF(AP122="","",INDIRECT(CONCATENATE("R",4+AP122,"C",38+(7-AO122)),FALSE))</f>
        <v/>
      </c>
      <c r="AR122" s="29" t="str">
        <f ca="1">AR139</f>
        <v/>
      </c>
      <c r="AS122" s="229" t="e">
        <f t="shared" si="112"/>
        <v>#N/A</v>
      </c>
      <c r="AT122" s="19" t="e">
        <f t="shared" si="113"/>
        <v>#N/A</v>
      </c>
      <c r="BA122" s="29" t="e">
        <f t="shared" si="108"/>
        <v>#N/A</v>
      </c>
      <c r="BB122" s="29">
        <f t="shared" si="108"/>
        <v>0</v>
      </c>
      <c r="BC122" s="29" t="e">
        <f>MATCH(Effektmåling!H180,Dropdowns!$L$4:$L$9,0)</f>
        <v>#N/A</v>
      </c>
      <c r="BD122" s="29" t="str">
        <f>IF(Effektmåling!D180="(blank)","",MATCH(Effektmåling!D180,$B$5:$B$56,0))</f>
        <v/>
      </c>
      <c r="BE122" s="144" t="str">
        <f ca="1">IF(BD122="","",IF(ABS(INDIRECT(CONCATENATE("R",4+BD122,"C",52+(7-BC122)),FALSE))&lt;1E-25,0,INDIRECT(CONCATENATE("R",4+BD122,"C",52+(7-BC122)),FALSE)))</f>
        <v/>
      </c>
      <c r="BH122" s="36" t="e">
        <f t="shared" si="109"/>
        <v>#N/A</v>
      </c>
      <c r="BI122" s="36">
        <f t="shared" si="109"/>
        <v>0</v>
      </c>
      <c r="BJ122" s="29" t="e">
        <f>MATCH(Effektmåling!H165,Dropdowns!$L$4:$L$9,0)</f>
        <v>#N/A</v>
      </c>
      <c r="BK122" s="29" t="str">
        <f>IF(Effektmåling!D165="(blank)","",MATCH(Effektmåling!D165,$B$5:$B$56,0))</f>
        <v/>
      </c>
      <c r="BL122" s="29" t="str">
        <f ca="1">IF(BK122="","",IF(ABS(INDIRECT(CONCATENATE("R",4+BK122,"C",59+(7-BJ122)),FALSE))&lt;1E-25,0,INDIRECT(CONCATENATE("R",4+BK122,"C",59+(7-BJ122)),FALSE)))</f>
        <v/>
      </c>
    </row>
    <row r="123" spans="1:65" x14ac:dyDescent="0.15">
      <c r="AD123" s="19" t="e">
        <f t="shared" si="110"/>
        <v>#N/A</v>
      </c>
      <c r="AE123" s="19" t="e">
        <f t="shared" si="111"/>
        <v>#N/A</v>
      </c>
      <c r="AF123" s="19" t="e">
        <f>IF(AI151=1,AH151,AJ151)</f>
        <v>#N/A</v>
      </c>
      <c r="AG123" s="19">
        <f>Effektmåling!J181</f>
        <v>0</v>
      </c>
      <c r="AH123" s="29" t="e">
        <f>MATCH(Effektmåling!H181,Dropdowns!$L$4:$L$9,0)</f>
        <v>#N/A</v>
      </c>
      <c r="AI123" s="29" t="str">
        <f>IF(Effektmåling!D181="(blank)","",MATCH(Effektmåling!D181,$B$5:$B$56,0))</f>
        <v/>
      </c>
      <c r="AJ123" s="19" t="str">
        <f ca="1">IF(AI123="","",INDIRECT(CONCATENATE("R",4+AI123,"C",31+(7-AH123)),FALSE))</f>
        <v/>
      </c>
      <c r="AK123" s="29" t="str">
        <f ca="1">AK140</f>
        <v/>
      </c>
      <c r="AM123" s="19" t="e">
        <f>IF(AP151=1,AO151,AQ151)</f>
        <v>#N/A</v>
      </c>
      <c r="AN123" s="29">
        <f>Effektmåling!J166</f>
        <v>0</v>
      </c>
      <c r="AO123" s="29" t="e">
        <f>MATCH(Effektmåling!H166,Dropdowns!$L$4:$L$9,0)</f>
        <v>#N/A</v>
      </c>
      <c r="AP123" s="29" t="str">
        <f>IF(Effektmåling!D166="(blank)","",MATCH(Effektmåling!D166,$B$5:$B$56,0))</f>
        <v/>
      </c>
      <c r="AQ123" s="29" t="str">
        <f ca="1">IF(AP123="","",INDIRECT(CONCATENATE("R",4+AP123,"C",38+(7-AO123)),FALSE))</f>
        <v/>
      </c>
      <c r="AR123" s="29" t="str">
        <f ca="1">AR140</f>
        <v/>
      </c>
      <c r="AS123" s="229" t="e">
        <f t="shared" si="112"/>
        <v>#N/A</v>
      </c>
      <c r="AT123" s="19" t="e">
        <f t="shared" si="113"/>
        <v>#N/A</v>
      </c>
      <c r="BA123" s="29" t="e">
        <f t="shared" si="108"/>
        <v>#N/A</v>
      </c>
      <c r="BB123" s="29">
        <f t="shared" si="108"/>
        <v>0</v>
      </c>
      <c r="BC123" s="29" t="e">
        <f>MATCH(Effektmåling!H181,Dropdowns!$L$4:$L$9,0)</f>
        <v>#N/A</v>
      </c>
      <c r="BD123" s="29" t="str">
        <f>IF(Effektmåling!D181="(blank)","",MATCH(Effektmåling!D181,$B$5:$B$56,0))</f>
        <v/>
      </c>
      <c r="BE123" s="144" t="str">
        <f ca="1">IF(BD123="","",IF(ABS(INDIRECT(CONCATENATE("R",4+BD123,"C",52+(7-BC123)),FALSE))&lt;1E-25,0,INDIRECT(CONCATENATE("R",4+BD123,"C",52+(7-BC123)),FALSE)))</f>
        <v/>
      </c>
      <c r="BH123" s="36" t="e">
        <f t="shared" si="109"/>
        <v>#N/A</v>
      </c>
      <c r="BI123" s="36">
        <f t="shared" si="109"/>
        <v>0</v>
      </c>
      <c r="BJ123" s="29" t="e">
        <f>MATCH(Effektmåling!H166,Dropdowns!$L$4:$L$9,0)</f>
        <v>#N/A</v>
      </c>
      <c r="BK123" s="29" t="str">
        <f>IF(Effektmåling!D166="(blank)","",MATCH(Effektmåling!D166,$B$5:$B$56,0))</f>
        <v/>
      </c>
      <c r="BL123" s="29" t="str">
        <f ca="1">IF(BK123="","",IF(ABS(INDIRECT(CONCATENATE("R",4+BK123,"C",59+(7-BJ123)),FALSE))&lt;1E-25,0,INDIRECT(CONCATENATE("R",4+BK123,"C",59+(7-BJ123)),FALSE)))</f>
        <v/>
      </c>
    </row>
    <row r="124" spans="1:65" x14ac:dyDescent="0.15">
      <c r="B124" s="59" t="s">
        <v>311</v>
      </c>
      <c r="C124" s="17"/>
      <c r="D124" s="17"/>
      <c r="E124" s="17"/>
      <c r="F124" s="17"/>
      <c r="G124" s="17"/>
      <c r="AD124" s="19" t="e">
        <f t="shared" si="110"/>
        <v>#N/A</v>
      </c>
      <c r="AE124" s="19" t="e">
        <f t="shared" si="111"/>
        <v>#N/A</v>
      </c>
      <c r="AF124" s="17" t="e">
        <f>IF(AI152=1,AH152,AJ152)</f>
        <v>#N/A</v>
      </c>
      <c r="AG124" s="17">
        <f>Effektmåling!J182</f>
        <v>0</v>
      </c>
      <c r="AH124" s="17" t="e">
        <f>MATCH(Effektmåling!H182,Dropdowns!$L$4:$L$9,0)</f>
        <v>#N/A</v>
      </c>
      <c r="AI124" s="17" t="str">
        <f>IF(Effektmåling!D182="(blank)","",MATCH(Effektmåling!D182,$B$5:$B$56,0))</f>
        <v/>
      </c>
      <c r="AJ124" s="17" t="str">
        <f ca="1">IF(AI124="","",INDIRECT(CONCATENATE("R",4+AI124,"C",31+(7-AH124)),FALSE))</f>
        <v/>
      </c>
      <c r="AK124" s="17" t="str">
        <f ca="1">AK141</f>
        <v/>
      </c>
      <c r="AM124" s="17" t="e">
        <f>IF(AP152=1,AO152,AQ152)</f>
        <v>#N/A</v>
      </c>
      <c r="AN124" s="17">
        <f>Effektmåling!J167</f>
        <v>0</v>
      </c>
      <c r="AO124" s="17" t="e">
        <f>MATCH(Effektmåling!H167,Dropdowns!$L$4:$L$9,0)</f>
        <v>#N/A</v>
      </c>
      <c r="AP124" s="17" t="str">
        <f>IF(Effektmåling!D167="(blank)","",MATCH(Effektmåling!D167,$B$5:$B$56,0))</f>
        <v/>
      </c>
      <c r="AQ124" s="17" t="str">
        <f ca="1">IF(AP124="","",INDIRECT(CONCATENATE("R",4+AP124,"C",38+(7-AO124)),FALSE))</f>
        <v/>
      </c>
      <c r="AR124" s="17" t="str">
        <f ca="1">AR141</f>
        <v/>
      </c>
      <c r="AS124" s="229" t="e">
        <f t="shared" si="112"/>
        <v>#N/A</v>
      </c>
      <c r="AT124" s="19" t="e">
        <f t="shared" si="113"/>
        <v>#N/A</v>
      </c>
      <c r="BA124" s="17" t="e">
        <f t="shared" si="108"/>
        <v>#N/A</v>
      </c>
      <c r="BB124" s="17">
        <f t="shared" si="108"/>
        <v>0</v>
      </c>
      <c r="BC124" s="17" t="e">
        <f>MATCH(Effektmåling!H182,Dropdowns!$L$4:$L$9,0)</f>
        <v>#N/A</v>
      </c>
      <c r="BD124" s="17" t="str">
        <f>IF(Effektmåling!D182="(blank)","",MATCH(Effektmåling!D182,$B$5:$B$56,0))</f>
        <v/>
      </c>
      <c r="BE124" s="145" t="str">
        <f ca="1">IF(BD124="","",IF(ABS(INDIRECT(CONCATENATE("R",4+BD124,"C",52+(7-BC124)),FALSE))&lt;1E-25,0,INDIRECT(CONCATENATE("R",4+BD124,"C",52+(7-BC124)),FALSE)))</f>
        <v/>
      </c>
      <c r="BH124" s="37" t="e">
        <f t="shared" si="109"/>
        <v>#N/A</v>
      </c>
      <c r="BI124" s="37">
        <f t="shared" si="109"/>
        <v>0</v>
      </c>
      <c r="BJ124" s="17" t="e">
        <f>MATCH(Effektmåling!H167,Dropdowns!$L$4:$L$9,0)</f>
        <v>#N/A</v>
      </c>
      <c r="BK124" s="17" t="str">
        <f>IF(Effektmåling!D167="(blank)","",MATCH(Effektmåling!D167,$B$5:$B$56,0))</f>
        <v/>
      </c>
      <c r="BL124" s="17" t="str">
        <f ca="1">IF(BK124="","",IF(ABS(INDIRECT(CONCATENATE("R",4+BK124,"C",59+(7-BJ124)),FALSE))&lt;1E-25,0,INDIRECT(CONCATENATE("R",4+BK124,"C",59+(7-BJ124)),FALSE)))</f>
        <v/>
      </c>
    </row>
    <row r="125" spans="1:65" x14ac:dyDescent="0.15">
      <c r="B125" s="911" t="s">
        <v>312</v>
      </c>
      <c r="C125" s="911"/>
      <c r="D125" s="911"/>
      <c r="E125" s="911"/>
      <c r="F125" s="911"/>
      <c r="G125" s="911"/>
      <c r="BC125" s="19" t="s">
        <v>296</v>
      </c>
      <c r="BE125" s="19">
        <f ca="1">SUM(BE120:BE124)</f>
        <v>0</v>
      </c>
      <c r="BJ125" s="19" t="s">
        <v>296</v>
      </c>
      <c r="BL125" s="72">
        <f ca="1">SUM(BL120:BL124)</f>
        <v>0</v>
      </c>
    </row>
    <row r="126" spans="1:65" x14ac:dyDescent="0.15">
      <c r="B126" s="910" t="s">
        <v>313</v>
      </c>
      <c r="C126" s="910"/>
      <c r="D126" s="910"/>
      <c r="E126" s="910"/>
      <c r="F126" s="910"/>
      <c r="G126" s="910"/>
      <c r="AF126" s="103" t="s">
        <v>314</v>
      </c>
      <c r="AI126" s="17"/>
      <c r="AJ126" s="17"/>
      <c r="AP126" s="17"/>
      <c r="AQ126" s="17"/>
      <c r="BA126" s="103" t="s">
        <v>314</v>
      </c>
      <c r="BC126" s="103"/>
      <c r="BD126" s="17"/>
      <c r="BE126" s="17"/>
      <c r="BH126" s="103" t="s">
        <v>314</v>
      </c>
    </row>
    <row r="127" spans="1:65" x14ac:dyDescent="0.15">
      <c r="B127" s="909" t="s">
        <v>315</v>
      </c>
      <c r="C127" s="909"/>
      <c r="D127" s="909"/>
      <c r="E127" s="909"/>
      <c r="F127" s="909"/>
      <c r="G127" s="909"/>
      <c r="AF127" s="904" t="s">
        <v>305</v>
      </c>
      <c r="AG127" s="904"/>
      <c r="AH127" s="230" t="s">
        <v>306</v>
      </c>
      <c r="AI127" s="17" t="s">
        <v>307</v>
      </c>
      <c r="AJ127" s="31" t="s">
        <v>8</v>
      </c>
      <c r="AK127" s="31" t="s">
        <v>230</v>
      </c>
      <c r="AM127" s="904" t="s">
        <v>305</v>
      </c>
      <c r="AN127" s="904"/>
      <c r="AO127" s="490" t="s">
        <v>306</v>
      </c>
      <c r="AP127" s="478" t="s">
        <v>307</v>
      </c>
      <c r="AQ127" s="478" t="s">
        <v>8</v>
      </c>
      <c r="AR127" s="478" t="s">
        <v>230</v>
      </c>
      <c r="BA127" s="903" t="s">
        <v>305</v>
      </c>
      <c r="BB127" s="903"/>
      <c r="BC127" s="42" t="s">
        <v>306</v>
      </c>
      <c r="BD127" s="572" t="s">
        <v>307</v>
      </c>
      <c r="BE127" s="478" t="s">
        <v>243</v>
      </c>
      <c r="BH127" s="903" t="s">
        <v>305</v>
      </c>
      <c r="BI127" s="903"/>
      <c r="BJ127" s="17" t="s">
        <v>306</v>
      </c>
      <c r="BK127" s="17" t="s">
        <v>307</v>
      </c>
      <c r="BL127" s="473"/>
    </row>
    <row r="128" spans="1:65" x14ac:dyDescent="0.15">
      <c r="B128" s="914" t="s">
        <v>316</v>
      </c>
      <c r="C128" s="914"/>
      <c r="D128" s="914"/>
      <c r="E128" s="914"/>
      <c r="F128" s="914"/>
      <c r="G128" s="914"/>
      <c r="AF128" s="19" t="e">
        <f>IF(AI148=1,AH148,AJ148)</f>
        <v>#N/A</v>
      </c>
      <c r="AG128" s="19">
        <f>Effektmåling!J178</f>
        <v>0</v>
      </c>
      <c r="AH128" s="19" t="e">
        <f>MATCH(Effektmåling!H178,Dropdowns!$L$4:$L$9,0)</f>
        <v>#N/A</v>
      </c>
      <c r="AI128" s="19" t="str">
        <f>IF(Effektmåling!D178="(blank)","",MATCH(Effektmåling!D178,$B$5:$B$56,0))</f>
        <v/>
      </c>
      <c r="AJ128" s="29" t="str">
        <f ca="1">IF(AI120="","",INDIRECT(CONCATENATE("R",64+AI120,"C",31+(7-AH120)),FALSE))</f>
        <v/>
      </c>
      <c r="AK128" s="29" t="str">
        <f ca="1">AK120</f>
        <v/>
      </c>
      <c r="AM128" s="19" t="e">
        <f>IF(AP148=1,AO148,AQ148)</f>
        <v>#N/A</v>
      </c>
      <c r="AN128" s="19">
        <f>Effektmåling!J163</f>
        <v>0</v>
      </c>
      <c r="AO128" s="19" t="e">
        <f>MATCH(Effektmåling!H163,Dropdowns!$L$4:$L$9,0)</f>
        <v>#N/A</v>
      </c>
      <c r="AP128" s="476" t="str">
        <f>IF(Effektmåling!D163="(blank)","",MATCH(Effektmåling!D163,$B$5:$B$56,0))</f>
        <v/>
      </c>
      <c r="AQ128" s="476" t="str">
        <f ca="1">IF(AP128="","",INDIRECT(CONCATENATE("R",64+AP128,"C",38+(7-AO128)),FALSE))</f>
        <v/>
      </c>
      <c r="AR128" s="29" t="str">
        <f ca="1">AR120</f>
        <v/>
      </c>
      <c r="BA128" s="19" t="e">
        <f t="shared" ref="BA128:BB132" si="114">AF128</f>
        <v>#N/A</v>
      </c>
      <c r="BB128" s="19">
        <f t="shared" si="114"/>
        <v>0</v>
      </c>
      <c r="BC128" s="476" t="e">
        <f>MATCH(Effektmåling!H178,Dropdowns!$L$4:$L$9,0)</f>
        <v>#N/A</v>
      </c>
      <c r="BD128" s="29" t="str">
        <f>IF(Effektmåling!D178="(blank)","",MATCH(Effektmåling!D178,$B$5:$B$56,0))</f>
        <v/>
      </c>
      <c r="BE128" s="476" t="str">
        <f ca="1">IF(BD128="","",IF(INDIRECT(CONCATENATE("R",64+BD128,"C",52+(7-BC128)),FALSE)&lt;1E-25,0,INDIRECT(CONCATENATE("R",64+BD128,"C",52+(7-BC128)),FALSE)))</f>
        <v/>
      </c>
      <c r="BH128" s="39" t="e">
        <f t="shared" ref="BH128:BI132" si="115">AM128</f>
        <v>#N/A</v>
      </c>
      <c r="BI128" s="39">
        <f t="shared" si="115"/>
        <v>0</v>
      </c>
      <c r="BJ128" s="29" t="e">
        <f>MATCH(Effektmåling!H163,Dropdowns!$L$4:$L$9,0)</f>
        <v>#N/A</v>
      </c>
      <c r="BK128" s="70" t="str">
        <f>IF(Effektmåling!D163="(blank)","",MATCH(Effektmåling!D163,$B$5:$B$56,0))</f>
        <v/>
      </c>
      <c r="BL128" s="476" t="str">
        <f ca="1">IF(BK128="","",IF(ABS(INDIRECT(CONCATENATE("R",64+BK128,"C",59+(7-BJ128)),FALSE))&lt;1E-25,0,INDIRECT(CONCATENATE("R",64+BK128,"C",59+(7-BJ128)),FALSE)))</f>
        <v/>
      </c>
    </row>
    <row r="129" spans="2:66" x14ac:dyDescent="0.15">
      <c r="B129" s="913" t="s">
        <v>317</v>
      </c>
      <c r="C129" s="913"/>
      <c r="D129" s="913"/>
      <c r="E129" s="913"/>
      <c r="F129" s="913"/>
      <c r="G129" s="913"/>
      <c r="AF129" s="19" t="e">
        <f>IF(AI149=1,AH149,AJ149)</f>
        <v>#N/A</v>
      </c>
      <c r="AG129" s="19">
        <f>Effektmåling!J179</f>
        <v>0</v>
      </c>
      <c r="AH129" s="19" t="e">
        <f>MATCH(Effektmåling!H179,Dropdowns!$L$4:$L$9,0)</f>
        <v>#N/A</v>
      </c>
      <c r="AI129" s="19" t="str">
        <f>IF(Effektmåling!D179="(blank)","",MATCH(Effektmåling!D179,$B$5:$B$56,0))</f>
        <v/>
      </c>
      <c r="AJ129" s="476" t="str">
        <f t="shared" ref="AJ129:AJ132" ca="1" si="116">IF(AI121="","",INDIRECT(CONCATENATE("R",64+AI121,"C",31+(7-AH121)),FALSE))</f>
        <v/>
      </c>
      <c r="AK129" s="29" t="str">
        <f ca="1">AK121</f>
        <v/>
      </c>
      <c r="AM129" s="19" t="e">
        <f>IF(AP149=1,AO149,AQ149)</f>
        <v>#N/A</v>
      </c>
      <c r="AN129" s="19">
        <f>Effektmåling!J164</f>
        <v>0</v>
      </c>
      <c r="AO129" s="19" t="e">
        <f>MATCH(Effektmåling!H164,Dropdowns!$L$4:$L$9,0)</f>
        <v>#N/A</v>
      </c>
      <c r="AP129" s="29" t="str">
        <f>IF(Effektmåling!D164="(blank)","",MATCH(Effektmåling!D164,$B$5:$B$56,0))</f>
        <v/>
      </c>
      <c r="AQ129" s="476" t="str">
        <f t="shared" ref="AQ129:AQ132" ca="1" si="117">IF(AP129="","",INDIRECT(CONCATENATE("R",64+AP129,"C",38+(7-AO129)),FALSE))</f>
        <v/>
      </c>
      <c r="AR129" s="29" t="str">
        <f ca="1">AR121</f>
        <v/>
      </c>
      <c r="BA129" s="19" t="e">
        <f t="shared" si="114"/>
        <v>#N/A</v>
      </c>
      <c r="BB129" s="19">
        <f t="shared" si="114"/>
        <v>0</v>
      </c>
      <c r="BC129" s="29" t="e">
        <f>MATCH(Effektmåling!H179,Dropdowns!$L$4:$L$9,0)</f>
        <v>#N/A</v>
      </c>
      <c r="BD129" s="29" t="str">
        <f>IF(Effektmåling!D179="(blank)","",MATCH(Effektmåling!D179,$B$5:$B$56,0))</f>
        <v/>
      </c>
      <c r="BE129" s="476" t="str">
        <f ca="1">IF(BD129="","",IF(INDIRECT(CONCATENATE("R",64+BD129,"C",52+(7-BC129)),FALSE)&lt;1E-25,0,INDIRECT(CONCATENATE("R",64+BD129,"C",52+(7-BC129)),FALSE)))</f>
        <v/>
      </c>
      <c r="BH129" s="36" t="e">
        <f t="shared" si="115"/>
        <v>#N/A</v>
      </c>
      <c r="BI129" s="36">
        <f t="shared" si="115"/>
        <v>0</v>
      </c>
      <c r="BJ129" s="29" t="e">
        <f>MATCH(Effektmåling!H164,Dropdowns!$L$4:$L$9,0)</f>
        <v>#N/A</v>
      </c>
      <c r="BK129" s="29" t="str">
        <f>IF(Effektmåling!D164="(blank)","",MATCH(Effektmåling!D164,$B$5:$B$56,0))</f>
        <v/>
      </c>
      <c r="BL129" s="476" t="str">
        <f t="shared" ref="BL129:BL132" ca="1" si="118">IF(BK129="","",IF(ABS(INDIRECT(CONCATENATE("R",64+BK129,"C",59+(7-BJ129)),FALSE))&lt;1E-25,0,INDIRECT(CONCATENATE("R",64+BK129,"C",59+(7-BJ129)),FALSE)))</f>
        <v/>
      </c>
    </row>
    <row r="130" spans="2:66" x14ac:dyDescent="0.15">
      <c r="B130" s="117" t="s">
        <v>318</v>
      </c>
      <c r="C130" s="117"/>
      <c r="D130" s="117"/>
      <c r="E130" s="117"/>
      <c r="F130" s="117"/>
      <c r="G130" s="117"/>
      <c r="AF130" s="19" t="e">
        <f>IF(AI150=1,AH150,AJ150)</f>
        <v>#N/A</v>
      </c>
      <c r="AG130" s="19">
        <f>Effektmåling!J180</f>
        <v>0</v>
      </c>
      <c r="AH130" s="19" t="e">
        <f>MATCH(Effektmåling!H180,Dropdowns!$L$4:$L$9,0)</f>
        <v>#N/A</v>
      </c>
      <c r="AI130" s="19" t="str">
        <f>IF(Effektmåling!D180="(blank)","",MATCH(Effektmåling!D180,$B$5:$B$56,0))</f>
        <v/>
      </c>
      <c r="AJ130" s="476" t="str">
        <f t="shared" ca="1" si="116"/>
        <v/>
      </c>
      <c r="AK130" s="29" t="str">
        <f ca="1">AK122</f>
        <v/>
      </c>
      <c r="AM130" s="19" t="e">
        <f>IF(AP150=1,AO150,AQ150)</f>
        <v>#N/A</v>
      </c>
      <c r="AN130" s="19">
        <f>Effektmåling!J165</f>
        <v>0</v>
      </c>
      <c r="AO130" s="19" t="e">
        <f>MATCH(Effektmåling!H165,Dropdowns!$L$4:$L$9,0)</f>
        <v>#N/A</v>
      </c>
      <c r="AP130" s="29" t="str">
        <f>IF(Effektmåling!D165="(blank)","",MATCH(Effektmåling!D165,$B$5:$B$56,0))</f>
        <v/>
      </c>
      <c r="AQ130" s="476" t="str">
        <f t="shared" ca="1" si="117"/>
        <v/>
      </c>
      <c r="AR130" s="29" t="str">
        <f ca="1">AR122</f>
        <v/>
      </c>
      <c r="BA130" s="19" t="e">
        <f t="shared" si="114"/>
        <v>#N/A</v>
      </c>
      <c r="BB130" s="19">
        <f t="shared" si="114"/>
        <v>0</v>
      </c>
      <c r="BC130" s="29" t="e">
        <f>MATCH(Effektmåling!H180,Dropdowns!$L$4:$L$9,0)</f>
        <v>#N/A</v>
      </c>
      <c r="BD130" s="29" t="str">
        <f>IF(Effektmåling!D180="(blank)","",MATCH(Effektmåling!D180,$B$5:$B$56,0))</f>
        <v/>
      </c>
      <c r="BE130" s="476" t="str">
        <f t="shared" ref="BE130:BE132" ca="1" si="119">IF(BD130="","",IF(INDIRECT(CONCATENATE("R",64+BD130,"C",52+(7-BC130)),FALSE)&lt;1E-25,0,INDIRECT(CONCATENATE("R",64+BD130,"C",52+(7-BC130)),FALSE)))</f>
        <v/>
      </c>
      <c r="BH130" s="36" t="e">
        <f t="shared" si="115"/>
        <v>#N/A</v>
      </c>
      <c r="BI130" s="36">
        <f t="shared" si="115"/>
        <v>0</v>
      </c>
      <c r="BJ130" s="29" t="e">
        <f>MATCH(Effektmåling!H165,Dropdowns!$L$4:$L$9,0)</f>
        <v>#N/A</v>
      </c>
      <c r="BK130" s="29" t="str">
        <f>IF(Effektmåling!D165="(blank)","",MATCH(Effektmåling!D165,$B$5:$B$56,0))</f>
        <v/>
      </c>
      <c r="BL130" s="476" t="str">
        <f t="shared" ca="1" si="118"/>
        <v/>
      </c>
    </row>
    <row r="131" spans="2:66" x14ac:dyDescent="0.15">
      <c r="B131" s="912" t="s">
        <v>319</v>
      </c>
      <c r="C131" s="912"/>
      <c r="D131" s="912"/>
      <c r="E131" s="912"/>
      <c r="F131" s="912"/>
      <c r="G131" s="912"/>
      <c r="AF131" s="19" t="e">
        <f>IF(AI151=1,AH151,AJ151)</f>
        <v>#N/A</v>
      </c>
      <c r="AG131" s="19">
        <f>Effektmåling!J181</f>
        <v>0</v>
      </c>
      <c r="AH131" s="19" t="e">
        <f>MATCH(Effektmåling!H181,Dropdowns!$L$4:$L$9,0)</f>
        <v>#N/A</v>
      </c>
      <c r="AI131" s="19" t="str">
        <f>IF(Effektmåling!D181="(blank)","",MATCH(Effektmåling!D181,$B$5:$B$56,0))</f>
        <v/>
      </c>
      <c r="AJ131" s="476" t="str">
        <f t="shared" ca="1" si="116"/>
        <v/>
      </c>
      <c r="AK131" s="29" t="str">
        <f ca="1">AK123</f>
        <v/>
      </c>
      <c r="AM131" s="19" t="e">
        <f>IF(AP151=1,AO151,AQ151)</f>
        <v>#N/A</v>
      </c>
      <c r="AN131" s="19">
        <f>Effektmåling!J166</f>
        <v>0</v>
      </c>
      <c r="AO131" s="19" t="e">
        <f>MATCH(Effektmåling!H166,Dropdowns!$L$4:$L$9,0)</f>
        <v>#N/A</v>
      </c>
      <c r="AP131" s="29" t="str">
        <f>IF(Effektmåling!D166="(blank)","",MATCH(Effektmåling!D166,$B$5:$B$56,0))</f>
        <v/>
      </c>
      <c r="AQ131" s="476" t="str">
        <f t="shared" ca="1" si="117"/>
        <v/>
      </c>
      <c r="AR131" s="29" t="str">
        <f ca="1">AR123</f>
        <v/>
      </c>
      <c r="BA131" s="19" t="e">
        <f t="shared" si="114"/>
        <v>#N/A</v>
      </c>
      <c r="BB131" s="19">
        <f t="shared" si="114"/>
        <v>0</v>
      </c>
      <c r="BC131" s="29" t="e">
        <f>MATCH(Effektmåling!H181,Dropdowns!$L$4:$L$9,0)</f>
        <v>#N/A</v>
      </c>
      <c r="BD131" s="29" t="str">
        <f>IF(Effektmåling!D181="(blank)","",MATCH(Effektmåling!D181,$B$5:$B$56,0))</f>
        <v/>
      </c>
      <c r="BE131" s="476" t="str">
        <f t="shared" ca="1" si="119"/>
        <v/>
      </c>
      <c r="BH131" s="36" t="e">
        <f t="shared" si="115"/>
        <v>#N/A</v>
      </c>
      <c r="BI131" s="36">
        <f t="shared" si="115"/>
        <v>0</v>
      </c>
      <c r="BJ131" s="29" t="e">
        <f>MATCH(Effektmåling!H166,Dropdowns!$L$4:$L$9,0)</f>
        <v>#N/A</v>
      </c>
      <c r="BK131" s="29" t="str">
        <f>IF(Effektmåling!D166="(blank)","",MATCH(Effektmåling!D166,$B$5:$B$56,0))</f>
        <v/>
      </c>
      <c r="BL131" s="476" t="str">
        <f t="shared" ca="1" si="118"/>
        <v/>
      </c>
    </row>
    <row r="132" spans="2:66" x14ac:dyDescent="0.15">
      <c r="B132" s="907" t="s">
        <v>320</v>
      </c>
      <c r="C132" s="908"/>
      <c r="D132" s="908"/>
      <c r="E132" s="908"/>
      <c r="F132" s="908"/>
      <c r="G132" s="908"/>
      <c r="AF132" s="17" t="e">
        <f>IF(AI152=1,AH152,AJ152)</f>
        <v>#N/A</v>
      </c>
      <c r="AG132" s="17">
        <f>Effektmåling!J182</f>
        <v>0</v>
      </c>
      <c r="AH132" s="17" t="e">
        <f>MATCH(Effektmåling!H182,Dropdowns!$L$4:$L$9,0)</f>
        <v>#N/A</v>
      </c>
      <c r="AI132" s="17" t="str">
        <f>IF(Effektmåling!D182="(blank)","",MATCH(Effektmåling!D182,$B$5:$B$56,0))</f>
        <v/>
      </c>
      <c r="AJ132" s="476" t="str">
        <f t="shared" ca="1" si="116"/>
        <v/>
      </c>
      <c r="AK132" s="17" t="str">
        <f ca="1">AK124</f>
        <v/>
      </c>
      <c r="AM132" s="17" t="e">
        <f>IF(AP152=1,AO152,AQ152)</f>
        <v>#N/A</v>
      </c>
      <c r="AN132" s="17">
        <f>Effektmåling!J167</f>
        <v>0</v>
      </c>
      <c r="AO132" s="17" t="e">
        <f>MATCH(Effektmåling!H167,Dropdowns!$L$4:$L$9,0)</f>
        <v>#N/A</v>
      </c>
      <c r="AP132" s="17" t="str">
        <f>IF(Effektmåling!D167="(blank)","",MATCH(Effektmåling!D167,$B$5:$B$56,0))</f>
        <v/>
      </c>
      <c r="AQ132" s="473" t="str">
        <f t="shared" ca="1" si="117"/>
        <v/>
      </c>
      <c r="AR132" s="17" t="str">
        <f ca="1">AR124</f>
        <v/>
      </c>
      <c r="BA132" s="17" t="e">
        <f t="shared" si="114"/>
        <v>#N/A</v>
      </c>
      <c r="BB132" s="17">
        <f t="shared" si="114"/>
        <v>0</v>
      </c>
      <c r="BC132" s="17" t="e">
        <f>MATCH(Effektmåling!H182,Dropdowns!$L$4:$L$9,0)</f>
        <v>#N/A</v>
      </c>
      <c r="BD132" s="17" t="str">
        <f>IF(Effektmåling!D182="(blank)","",MATCH(Effektmåling!D182,$B$5:$B$56,0))</f>
        <v/>
      </c>
      <c r="BE132" s="473" t="str">
        <f t="shared" ca="1" si="119"/>
        <v/>
      </c>
      <c r="BH132" s="37" t="e">
        <f t="shared" si="115"/>
        <v>#N/A</v>
      </c>
      <c r="BI132" s="37">
        <f t="shared" si="115"/>
        <v>0</v>
      </c>
      <c r="BJ132" s="17" t="e">
        <f>MATCH(Effektmåling!H167,Dropdowns!$L$4:$L$9,0)</f>
        <v>#N/A</v>
      </c>
      <c r="BK132" s="17" t="str">
        <f>IF(Effektmåling!D167="(blank)","",MATCH(Effektmåling!D167,$B$5:$B$56,0))</f>
        <v/>
      </c>
      <c r="BL132" s="473" t="str">
        <f t="shared" ca="1" si="118"/>
        <v/>
      </c>
    </row>
    <row r="133" spans="2:66" x14ac:dyDescent="0.15">
      <c r="B133" s="906" t="s">
        <v>321</v>
      </c>
      <c r="C133" s="906"/>
      <c r="D133" s="906"/>
      <c r="E133" s="906"/>
      <c r="F133" s="906"/>
      <c r="G133" s="906"/>
      <c r="AF133" s="49"/>
      <c r="AG133" s="49"/>
      <c r="AH133" s="49"/>
      <c r="AJ133" s="49"/>
      <c r="AK133" s="49"/>
      <c r="AL133" s="49"/>
      <c r="AM133" s="49"/>
      <c r="AN133" s="49"/>
      <c r="AO133" s="49"/>
      <c r="AP133" s="49"/>
      <c r="AQ133" s="49"/>
      <c r="AR133" s="49"/>
      <c r="AS133" s="49"/>
      <c r="AT133" s="49"/>
      <c r="AU133" s="49"/>
      <c r="AV133" s="49"/>
      <c r="AW133" s="49"/>
      <c r="AX133" s="49"/>
      <c r="AY133" s="49"/>
      <c r="AZ133" s="49"/>
      <c r="BA133" s="49"/>
      <c r="BB133" s="49"/>
      <c r="BC133" s="49" t="s">
        <v>296</v>
      </c>
      <c r="BD133" s="49"/>
      <c r="BE133" s="49">
        <f ca="1">SUM(BE128:BE132)</f>
        <v>0</v>
      </c>
      <c r="BF133" s="49"/>
      <c r="BG133" s="49"/>
      <c r="BH133" s="49"/>
      <c r="BI133" s="49"/>
      <c r="BJ133" s="49" t="s">
        <v>296</v>
      </c>
      <c r="BK133" s="49"/>
      <c r="BL133" s="49">
        <f ca="1">SUM(BL128:BL132)</f>
        <v>0</v>
      </c>
      <c r="BM133" s="49"/>
      <c r="BN133" s="49"/>
    </row>
    <row r="135" spans="2:66" x14ac:dyDescent="0.15">
      <c r="AF135" s="103" t="s">
        <v>322</v>
      </c>
      <c r="AI135" s="19" t="s">
        <v>323</v>
      </c>
      <c r="AJ135" s="18" t="str">
        <f>Effektmåling!$Q$235</f>
        <v>Ja</v>
      </c>
      <c r="AM135" s="103" t="s">
        <v>322</v>
      </c>
      <c r="AP135" s="19" t="s">
        <v>323</v>
      </c>
      <c r="AQ135" s="18" t="str">
        <f>Effektmåling!$Q$235</f>
        <v>Ja</v>
      </c>
      <c r="BA135" s="103" t="s">
        <v>324</v>
      </c>
      <c r="BD135" s="19" t="s">
        <v>323</v>
      </c>
      <c r="BE135" s="18" t="str">
        <f>Effektmåling!$Q$235</f>
        <v>Ja</v>
      </c>
      <c r="BH135" s="103" t="s">
        <v>325</v>
      </c>
      <c r="BK135" s="19" t="s">
        <v>323</v>
      </c>
      <c r="BL135" s="18" t="str">
        <f>Effektmåling!$Q$235</f>
        <v>Ja</v>
      </c>
    </row>
    <row r="136" spans="2:66" x14ac:dyDescent="0.15">
      <c r="AF136" s="904" t="s">
        <v>305</v>
      </c>
      <c r="AG136" s="904"/>
      <c r="AH136" s="17"/>
      <c r="AI136" s="17"/>
      <c r="AJ136" s="29" t="s">
        <v>241</v>
      </c>
      <c r="AK136" s="17" t="s">
        <v>230</v>
      </c>
      <c r="AM136" s="904" t="s">
        <v>305</v>
      </c>
      <c r="AN136" s="904"/>
      <c r="AO136" s="17"/>
      <c r="AP136" s="17"/>
      <c r="AQ136" s="29" t="s">
        <v>241</v>
      </c>
      <c r="AR136" s="17" t="s">
        <v>230</v>
      </c>
      <c r="BA136" s="903" t="s">
        <v>305</v>
      </c>
      <c r="BB136" s="903"/>
      <c r="BC136" s="17"/>
      <c r="BD136" s="17"/>
      <c r="BE136" s="17" t="s">
        <v>243</v>
      </c>
      <c r="BH136" s="903" t="s">
        <v>305</v>
      </c>
      <c r="BI136" s="903"/>
      <c r="BJ136" s="17"/>
      <c r="BK136" s="17"/>
      <c r="BL136" s="17" t="s">
        <v>243</v>
      </c>
    </row>
    <row r="137" spans="2:66" x14ac:dyDescent="0.15">
      <c r="AF137" s="19" t="e">
        <f t="shared" ref="AF137:AG141" si="120">AF120</f>
        <v>#N/A</v>
      </c>
      <c r="AG137" s="19">
        <f t="shared" si="120"/>
        <v>0</v>
      </c>
      <c r="AJ137" s="146" t="str">
        <f ca="1">IF(Effektmåling!$Q$235="Ja",IF(AND(AJ120="",AJ1128=""),"",AJ120+AJ128),AJ120)</f>
        <v/>
      </c>
      <c r="AK137" s="70" t="str">
        <f ca="1">IF(AJ137="","",RANK(AJ137,$AJ$137:$AJ$141,0)+COUNTIF(AJ$137:$AJ137,AJ137)-1)</f>
        <v/>
      </c>
      <c r="AM137" s="19" t="e">
        <f t="shared" ref="AM137:AN141" si="121">AM120</f>
        <v>#N/A</v>
      </c>
      <c r="AN137" s="19">
        <f t="shared" si="121"/>
        <v>0</v>
      </c>
      <c r="AQ137" s="146" t="str">
        <f ca="1">IF(Effektmåling!$Q$235="Ja",IF(AND(AQ120="",AQ1128=""),"",AQ120+AQ128),AQ120)</f>
        <v/>
      </c>
      <c r="AR137" s="70" t="str">
        <f ca="1">IF(AQ137="","",RANK(AQ137,$AQ$137:$AQ$141,0)+COUNTIF($AQ$137:AQ137,AQ137)-1)</f>
        <v/>
      </c>
      <c r="BA137" s="19" t="e">
        <f>BA120</f>
        <v>#N/A</v>
      </c>
      <c r="BB137" s="19">
        <f>BB120</f>
        <v>0</v>
      </c>
      <c r="BE137" s="146" t="str">
        <f ca="1">IF(Effektmåling!$Q$235="Ja",IF(AND(BE120="",BE1128=""),"",BE120+BE128),BE120)</f>
        <v/>
      </c>
      <c r="BH137" s="19" t="e">
        <f t="shared" ref="BH137:BI141" si="122">BH120</f>
        <v>#N/A</v>
      </c>
      <c r="BI137" s="19">
        <f t="shared" si="122"/>
        <v>0</v>
      </c>
      <c r="BL137" s="146" t="str">
        <f ca="1">IF(Effektmåling!$Q$235="Ja",IF(AND(BL120="",BL1128=""),"",BL120+BL128),BL120)</f>
        <v/>
      </c>
    </row>
    <row r="138" spans="2:66" x14ac:dyDescent="0.15">
      <c r="AF138" s="19" t="e">
        <f t="shared" si="120"/>
        <v>#N/A</v>
      </c>
      <c r="AG138" s="19">
        <f t="shared" si="120"/>
        <v>0</v>
      </c>
      <c r="AJ138" s="40" t="str">
        <f ca="1">IF(Effektmåling!$Q$235="Ja",IF(AND(AJ121="",AJ1129=""),"",AJ121+AJ129),AJ121)</f>
        <v/>
      </c>
      <c r="AK138" s="29" t="str">
        <f ca="1">IF(AJ138="","",RANK(AJ138,$AJ$137:$AJ$141,0)+COUNTIF(AJ$137:$AJ138,AJ138)-1)</f>
        <v/>
      </c>
      <c r="AM138" s="19" t="e">
        <f t="shared" si="121"/>
        <v>#N/A</v>
      </c>
      <c r="AN138" s="19">
        <f t="shared" si="121"/>
        <v>0</v>
      </c>
      <c r="AQ138" s="40" t="str">
        <f ca="1">IF(Effektmåling!$Q$235="Ja",IF(AND(AQ121="",AQ1129=""),"",AQ121+AQ129),AQ121)</f>
        <v/>
      </c>
      <c r="AR138" s="29" t="str">
        <f ca="1">IF(AQ138="","",RANK(AQ138,$AQ$137:$AQ$141,0)+COUNTIF($AQ$137:AQ138,AQ138)-1)</f>
        <v/>
      </c>
      <c r="BA138" s="19" t="e">
        <f t="shared" ref="BA138:BB141" si="123">BA121</f>
        <v>#N/A</v>
      </c>
      <c r="BB138" s="19">
        <f t="shared" si="123"/>
        <v>0</v>
      </c>
      <c r="BE138" s="40" t="str">
        <f ca="1">IF(Effektmåling!$Q$235="Ja",IF(AND(BE121="",BE1129=""),"",BE121+BE129),BE121)</f>
        <v/>
      </c>
      <c r="BH138" s="19" t="e">
        <f t="shared" si="122"/>
        <v>#N/A</v>
      </c>
      <c r="BI138" s="19">
        <f t="shared" si="122"/>
        <v>0</v>
      </c>
      <c r="BL138" s="40" t="str">
        <f ca="1">IF(Effektmåling!$Q$235="Ja",IF(AND(BL121="",BL1129=""),"",BL121+BL129),BL121)</f>
        <v/>
      </c>
    </row>
    <row r="139" spans="2:66" x14ac:dyDescent="0.15">
      <c r="AC139" s="229"/>
      <c r="AF139" s="19" t="e">
        <f t="shared" si="120"/>
        <v>#N/A</v>
      </c>
      <c r="AG139" s="19">
        <f t="shared" si="120"/>
        <v>0</v>
      </c>
      <c r="AJ139" s="40" t="str">
        <f ca="1">IF(Effektmåling!$Q$235="Ja",IF(AND(AJ122="",AJ1130=""),"",AJ122+AJ130),AJ122)</f>
        <v/>
      </c>
      <c r="AK139" s="29" t="str">
        <f ca="1">IF(AJ139="","",RANK(AJ139,$AJ$137:$AJ$141,0)+COUNTIF(AJ$137:$AJ139,AJ139)-1)</f>
        <v/>
      </c>
      <c r="AM139" s="19" t="e">
        <f t="shared" si="121"/>
        <v>#N/A</v>
      </c>
      <c r="AN139" s="19">
        <f t="shared" si="121"/>
        <v>0</v>
      </c>
      <c r="AQ139" s="40" t="str">
        <f ca="1">IF(Effektmåling!$Q$235="Ja",IF(AND(AQ122="",AQ1130=""),"",AQ122+AQ130),AQ122)</f>
        <v/>
      </c>
      <c r="AR139" s="29" t="str">
        <f ca="1">IF(AQ139="","",RANK(AQ139,$AQ$137:$AQ$141,0)+COUNTIF($AQ$137:AQ139,AQ139)-1)</f>
        <v/>
      </c>
      <c r="BA139" s="19" t="e">
        <f t="shared" si="123"/>
        <v>#N/A</v>
      </c>
      <c r="BB139" s="19">
        <f t="shared" si="123"/>
        <v>0</v>
      </c>
      <c r="BE139" s="40" t="str">
        <f ca="1">IF(Effektmåling!$Q$235="Ja",IF(AND(BE122="",BE1130=""),"",BE122+BE130),BE122)</f>
        <v/>
      </c>
      <c r="BH139" s="19" t="e">
        <f t="shared" si="122"/>
        <v>#N/A</v>
      </c>
      <c r="BI139" s="19">
        <f t="shared" si="122"/>
        <v>0</v>
      </c>
      <c r="BL139" s="40" t="str">
        <f ca="1">IF(Effektmåling!$Q$235="Ja",IF(AND(BL122="",BL1130=""),"",BL122+BL130),BL122)</f>
        <v/>
      </c>
    </row>
    <row r="140" spans="2:66" x14ac:dyDescent="0.15">
      <c r="AF140" s="19" t="e">
        <f t="shared" si="120"/>
        <v>#N/A</v>
      </c>
      <c r="AG140" s="19">
        <f t="shared" si="120"/>
        <v>0</v>
      </c>
      <c r="AJ140" s="40" t="str">
        <f ca="1">IF(Effektmåling!$Q$235="Ja",IF(AND(AJ123="",AJ1131=""),"",AJ123+AJ131),AJ123)</f>
        <v/>
      </c>
      <c r="AK140" s="29" t="str">
        <f ca="1">IF(AJ140="","",RANK(AJ140,$AJ$137:$AJ$141,0)+COUNTIF(AJ$137:$AJ140,AJ140)-1)</f>
        <v/>
      </c>
      <c r="AM140" s="19" t="e">
        <f t="shared" si="121"/>
        <v>#N/A</v>
      </c>
      <c r="AN140" s="19">
        <f t="shared" si="121"/>
        <v>0</v>
      </c>
      <c r="AQ140" s="40" t="str">
        <f ca="1">IF(Effektmåling!$Q$235="Ja",IF(AND(AQ123="",AQ1131=""),"",AQ123+AQ131),AQ123)</f>
        <v/>
      </c>
      <c r="AR140" s="29" t="str">
        <f ca="1">IF(AQ140="","",RANK(AQ140,$AQ$137:$AQ$141,0)+COUNTIF($AQ$137:AQ140,AQ140)-1)</f>
        <v/>
      </c>
      <c r="BA140" s="19" t="e">
        <f t="shared" si="123"/>
        <v>#N/A</v>
      </c>
      <c r="BB140" s="19">
        <f t="shared" si="123"/>
        <v>0</v>
      </c>
      <c r="BE140" s="40" t="str">
        <f ca="1">IF(Effektmåling!$Q$235="Ja",IF(AND(BE123="",BE1131=""),"",BE123+BE131),BE123)</f>
        <v/>
      </c>
      <c r="BH140" s="19" t="e">
        <f t="shared" si="122"/>
        <v>#N/A</v>
      </c>
      <c r="BI140" s="19">
        <f t="shared" si="122"/>
        <v>0</v>
      </c>
      <c r="BL140" s="40" t="str">
        <f ca="1">IF(Effektmåling!$Q$235="Ja",IF(AND(BL123="",BL1131=""),"",BL123+BL131),BL123)</f>
        <v/>
      </c>
    </row>
    <row r="141" spans="2:66" x14ac:dyDescent="0.15">
      <c r="AF141" s="17" t="e">
        <f t="shared" si="120"/>
        <v>#N/A</v>
      </c>
      <c r="AG141" s="17">
        <f t="shared" si="120"/>
        <v>0</v>
      </c>
      <c r="AH141" s="17"/>
      <c r="AI141" s="17"/>
      <c r="AJ141" s="116" t="str">
        <f ca="1">IF(Effektmåling!$Q$235="Ja",IF(AND(AJ124="",AJ1132=""),"",AJ124+AJ132),AJ124)</f>
        <v/>
      </c>
      <c r="AK141" s="17" t="str">
        <f ca="1">IF(AJ141="","",RANK(AJ141,$AJ$137:$AJ$141,0)+COUNTIF(AJ$137:$AJ141,AJ141)-1)</f>
        <v/>
      </c>
      <c r="AM141" s="17" t="e">
        <f t="shared" si="121"/>
        <v>#N/A</v>
      </c>
      <c r="AN141" s="17">
        <f t="shared" si="121"/>
        <v>0</v>
      </c>
      <c r="AO141" s="17"/>
      <c r="AP141" s="17"/>
      <c r="AQ141" s="116" t="str">
        <f ca="1">IF(Effektmåling!$Q$235="Ja",IF(AND(AQ124="",AQ1132=""),"",AQ124+AQ132),AQ124)</f>
        <v/>
      </c>
      <c r="AR141" s="17" t="str">
        <f ca="1">IF(AQ141="","",RANK(AQ141,$AQ$137:$AQ$141,0)+COUNTIF($AQ$137:AQ141,AQ141)-1)</f>
        <v/>
      </c>
      <c r="BA141" s="17" t="e">
        <f t="shared" si="123"/>
        <v>#N/A</v>
      </c>
      <c r="BB141" s="17">
        <f t="shared" si="123"/>
        <v>0</v>
      </c>
      <c r="BC141" s="17"/>
      <c r="BD141" s="17"/>
      <c r="BE141" s="116" t="str">
        <f ca="1">IF(Effektmåling!$Q$235="Ja",IF(AND(BE124="",BE1132=""),"",BE124+BE132),BE124)</f>
        <v/>
      </c>
      <c r="BH141" s="17" t="e">
        <f t="shared" si="122"/>
        <v>#N/A</v>
      </c>
      <c r="BI141" s="17">
        <f t="shared" si="122"/>
        <v>0</v>
      </c>
      <c r="BJ141" s="17"/>
      <c r="BK141" s="17"/>
      <c r="BL141" s="116" t="str">
        <f ca="1">IF(Effektmåling!$Q$235="Ja",IF(AND(BL124="",BL1132=""),"",BL124+BL132),BL124)</f>
        <v/>
      </c>
    </row>
    <row r="142" spans="2:66" x14ac:dyDescent="0.15">
      <c r="AF142" s="19" t="s">
        <v>164</v>
      </c>
      <c r="AJ142" s="20">
        <f ca="1">SUM(AJ137:AJ141)</f>
        <v>0</v>
      </c>
      <c r="AM142" s="19" t="s">
        <v>164</v>
      </c>
      <c r="AQ142" s="20">
        <f ca="1">SUM(AQ137:AQ141)</f>
        <v>0</v>
      </c>
      <c r="BA142" s="19" t="s">
        <v>164</v>
      </c>
      <c r="BE142" s="20">
        <f ca="1">SUM(BE137:BE141)</f>
        <v>0</v>
      </c>
      <c r="BH142" s="19" t="s">
        <v>164</v>
      </c>
      <c r="BL142" s="20">
        <f ca="1">SUM(BL137:BL141)</f>
        <v>0</v>
      </c>
    </row>
    <row r="143" spans="2:66" x14ac:dyDescent="0.15">
      <c r="AC143" s="229"/>
    </row>
    <row r="145" spans="32:44" x14ac:dyDescent="0.15">
      <c r="AF145" s="70" t="s">
        <v>326</v>
      </c>
      <c r="AG145" s="70">
        <f>COUNT(AF7:AK56)</f>
        <v>0</v>
      </c>
      <c r="AH145" s="70" t="s">
        <v>327</v>
      </c>
      <c r="AM145" s="70" t="s">
        <v>326</v>
      </c>
      <c r="AN145" s="70">
        <f>COUNT(AM7:AR56)</f>
        <v>0</v>
      </c>
      <c r="AO145" s="70" t="s">
        <v>327</v>
      </c>
    </row>
    <row r="146" spans="32:44" x14ac:dyDescent="0.15">
      <c r="AF146" s="17" t="s">
        <v>328</v>
      </c>
      <c r="AG146" s="17">
        <f>SUM(AG120:AG124)</f>
        <v>0</v>
      </c>
      <c r="AH146" s="17" t="s">
        <v>329</v>
      </c>
      <c r="AM146" s="17" t="s">
        <v>328</v>
      </c>
      <c r="AN146" s="17">
        <f>SUM(AN120:AN124)</f>
        <v>0</v>
      </c>
      <c r="AO146" s="17" t="s">
        <v>329</v>
      </c>
    </row>
    <row r="148" spans="32:44" x14ac:dyDescent="0.15">
      <c r="AF148" s="231" t="s">
        <v>330</v>
      </c>
      <c r="AG148" s="70"/>
      <c r="AH148" s="70" t="str">
        <f>Effektmåling!D178</f>
        <v>(blank)</v>
      </c>
      <c r="AI148" s="70">
        <f>COUNTIF($AH$148:$AH$152,AH148)</f>
        <v>5</v>
      </c>
      <c r="AJ148" s="70" t="e">
        <f>CONCATENATE(Effektmåling!D178," (",INDEX($AF$148:$AF$153,AH120),")")</f>
        <v>#N/A</v>
      </c>
      <c r="AK148" s="232"/>
      <c r="AM148" s="231"/>
      <c r="AN148" s="70"/>
      <c r="AO148" s="70" t="str">
        <f>Effektmåling!D163</f>
        <v>(blank)</v>
      </c>
      <c r="AP148" s="70">
        <f>COUNTIF($AO$148:$AO$152,AO148)</f>
        <v>5</v>
      </c>
      <c r="AQ148" s="70" t="e">
        <f>CONCATENATE(Effektmåling!D163," (",INDEX($AF$148:$AF$153,AO120),")")</f>
        <v>#N/A</v>
      </c>
      <c r="AR148" s="232"/>
    </row>
    <row r="149" spans="32:44" x14ac:dyDescent="0.15">
      <c r="AF149" s="211" t="s">
        <v>331</v>
      </c>
      <c r="AG149" s="29"/>
      <c r="AH149" s="29" t="str">
        <f>Effektmåling!D179</f>
        <v>(blank)</v>
      </c>
      <c r="AI149" s="29">
        <f>COUNTIF($AH$148:$AH$152,AH149)</f>
        <v>5</v>
      </c>
      <c r="AJ149" s="29" t="e">
        <f>CONCATENATE(Effektmåling!D179," (",INDEX($AF$148:$AF$153,AH121),")")</f>
        <v>#N/A</v>
      </c>
      <c r="AK149" s="212"/>
      <c r="AM149" s="211"/>
      <c r="AN149" s="29"/>
      <c r="AO149" s="29" t="str">
        <f>Effektmåling!D164</f>
        <v>(blank)</v>
      </c>
      <c r="AP149" s="29">
        <f>COUNTIF($AO$148:$AO$152,AO149)</f>
        <v>5</v>
      </c>
      <c r="AQ149" s="29" t="e">
        <f>CONCATENATE(Effektmåling!D164," (",INDEX($AF$148:$AF$153,AO121),")")</f>
        <v>#N/A</v>
      </c>
      <c r="AR149" s="212"/>
    </row>
    <row r="150" spans="32:44" x14ac:dyDescent="0.15">
      <c r="AF150" s="211" t="s">
        <v>332</v>
      </c>
      <c r="AG150" s="29"/>
      <c r="AH150" s="29" t="str">
        <f>Effektmåling!D180</f>
        <v>(blank)</v>
      </c>
      <c r="AI150" s="29">
        <f>COUNTIF($AH$148:$AH$152,AH150)</f>
        <v>5</v>
      </c>
      <c r="AJ150" s="29" t="e">
        <f>CONCATENATE(Effektmåling!D180," (",INDEX($AF$148:$AF$153,AH122),")")</f>
        <v>#N/A</v>
      </c>
      <c r="AK150" s="212"/>
      <c r="AM150" s="211"/>
      <c r="AN150" s="29"/>
      <c r="AO150" s="29" t="str">
        <f>Effektmåling!D165</f>
        <v>(blank)</v>
      </c>
      <c r="AP150" s="29">
        <f>COUNTIF($AO$148:$AO$152,AO150)</f>
        <v>5</v>
      </c>
      <c r="AQ150" s="29" t="e">
        <f>CONCATENATE(Effektmåling!D165," (",INDEX($AF$148:$AF$153,AO122),")")</f>
        <v>#N/A</v>
      </c>
      <c r="AR150" s="212"/>
    </row>
    <row r="151" spans="32:44" x14ac:dyDescent="0.15">
      <c r="AF151" s="211" t="s">
        <v>333</v>
      </c>
      <c r="AG151" s="29"/>
      <c r="AH151" s="29" t="str">
        <f>Effektmåling!D181</f>
        <v>(blank)</v>
      </c>
      <c r="AI151" s="29">
        <f>COUNTIF($AH$148:$AH$152,AH151)</f>
        <v>5</v>
      </c>
      <c r="AJ151" s="29" t="e">
        <f>CONCATENATE(Effektmåling!D181," (",INDEX($AF$148:$AF$153,AH123),")")</f>
        <v>#N/A</v>
      </c>
      <c r="AK151" s="212"/>
      <c r="AM151" s="211"/>
      <c r="AN151" s="29"/>
      <c r="AO151" s="29" t="str">
        <f>Effektmåling!D166</f>
        <v>(blank)</v>
      </c>
      <c r="AP151" s="29">
        <f>COUNTIF($AO$148:$AO$152,AO151)</f>
        <v>5</v>
      </c>
      <c r="AQ151" s="29" t="e">
        <f>CONCATENATE(Effektmåling!D166," (",INDEX($AF$148:$AF$153,AO123),")")</f>
        <v>#N/A</v>
      </c>
      <c r="AR151" s="212"/>
    </row>
    <row r="152" spans="32:44" x14ac:dyDescent="0.15">
      <c r="AF152" s="211" t="s">
        <v>334</v>
      </c>
      <c r="AG152" s="29"/>
      <c r="AH152" s="29" t="str">
        <f>Effektmåling!D182</f>
        <v>(blank)</v>
      </c>
      <c r="AI152" s="29">
        <f>COUNTIF($AH$148:$AH$152,AH152)</f>
        <v>5</v>
      </c>
      <c r="AJ152" s="29" t="e">
        <f>CONCATENATE(Effektmåling!D182," (",INDEX($AF$148:$AF$153,AH124),")")</f>
        <v>#N/A</v>
      </c>
      <c r="AK152" s="212"/>
      <c r="AM152" s="211"/>
      <c r="AN152" s="29"/>
      <c r="AO152" s="29" t="str">
        <f>Effektmåling!D167</f>
        <v>(blank)</v>
      </c>
      <c r="AP152" s="29">
        <f>COUNTIF($AO$148:$AO$152,AO152)</f>
        <v>5</v>
      </c>
      <c r="AQ152" s="29" t="e">
        <f>CONCATENATE(Effektmåling!D167," (",INDEX($AF$148:$AF$153,AO124),")")</f>
        <v>#N/A</v>
      </c>
      <c r="AR152" s="212"/>
    </row>
    <row r="153" spans="32:44" x14ac:dyDescent="0.15">
      <c r="AF153" s="217" t="s">
        <v>335</v>
      </c>
      <c r="AG153" s="17"/>
      <c r="AH153" s="17"/>
      <c r="AI153" s="17"/>
      <c r="AJ153" s="17"/>
      <c r="AK153" s="218"/>
      <c r="AM153" s="217"/>
      <c r="AN153" s="17"/>
      <c r="AO153" s="17"/>
      <c r="AP153" s="17"/>
      <c r="AQ153" s="17"/>
      <c r="AR153" s="218"/>
    </row>
  </sheetData>
  <sheetProtection algorithmName="SHA-512" hashValue="n84K9kEjGKT+H3MyGDX71wmySY020J+XzjpvsW+CRipGgBTm/YvNNXAnWWaieclytgBnvcy9JUa3GJz25QCmug==" saltValue="pbjuhMhPO8540Vgiak0Kcg==" spinCount="100000" sheet="1" selectLockedCells="1" selectUnlockedCells="1"/>
  <mergeCells count="31">
    <mergeCell ref="BY5:BZ5"/>
    <mergeCell ref="B133:G133"/>
    <mergeCell ref="B132:G132"/>
    <mergeCell ref="B127:G127"/>
    <mergeCell ref="B126:G126"/>
    <mergeCell ref="B125:G125"/>
    <mergeCell ref="B131:G131"/>
    <mergeCell ref="B129:G129"/>
    <mergeCell ref="B128:G128"/>
    <mergeCell ref="BA136:BB136"/>
    <mergeCell ref="BH136:BI136"/>
    <mergeCell ref="AF136:AG136"/>
    <mergeCell ref="AM136:AN136"/>
    <mergeCell ref="BH62:BM62"/>
    <mergeCell ref="AF119:AG119"/>
    <mergeCell ref="AF127:AG127"/>
    <mergeCell ref="AM127:AN127"/>
    <mergeCell ref="AM119:AN119"/>
    <mergeCell ref="BH2:BM2"/>
    <mergeCell ref="BA119:BB119"/>
    <mergeCell ref="BA127:BB127"/>
    <mergeCell ref="BH119:BI119"/>
    <mergeCell ref="BH127:BI127"/>
    <mergeCell ref="BA2:BF2"/>
    <mergeCell ref="BA62:BF62"/>
    <mergeCell ref="V2:Y2"/>
    <mergeCell ref="AA2:AD2"/>
    <mergeCell ref="AM2:AR2"/>
    <mergeCell ref="AF62:AK62"/>
    <mergeCell ref="AM62:AR62"/>
    <mergeCell ref="AF2:AK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K75"/>
  <sheetViews>
    <sheetView workbookViewId="0"/>
  </sheetViews>
  <sheetFormatPr defaultColWidth="8.75" defaultRowHeight="10.5" x14ac:dyDescent="0.15"/>
  <cols>
    <col min="1" max="1" width="4.75" style="19" customWidth="1"/>
    <col min="2" max="2" width="24" style="19" bestFit="1" customWidth="1"/>
    <col min="3" max="4" width="8.75" style="19"/>
    <col min="5" max="5" width="13.125" style="19" bestFit="1" customWidth="1"/>
    <col min="6" max="6" width="8.75" style="19"/>
    <col min="7" max="7" width="10.5" style="19" bestFit="1" customWidth="1"/>
    <col min="8" max="8" width="4.75" style="19" customWidth="1"/>
    <col min="9" max="9" width="20.125" style="19" bestFit="1" customWidth="1"/>
    <col min="10" max="18" width="8.75" style="19"/>
    <col min="19" max="19" width="20.125" style="19" bestFit="1" customWidth="1"/>
    <col min="20" max="20" width="8.75" style="19"/>
    <col min="21" max="21" width="9" style="19" customWidth="1"/>
    <col min="22" max="22" width="14.125" style="19" bestFit="1" customWidth="1"/>
    <col min="23" max="23" width="5.125" style="19" bestFit="1" customWidth="1"/>
    <col min="24" max="30" width="8.75" style="19"/>
    <col min="31" max="31" width="19.75" style="19" bestFit="1" customWidth="1"/>
    <col min="32" max="32" width="8.75" style="19" customWidth="1"/>
    <col min="33" max="33" width="8.75" style="19" bestFit="1" customWidth="1"/>
    <col min="34" max="34" width="13.125" style="19" bestFit="1" customWidth="1"/>
    <col min="35" max="35" width="11.125" style="19" bestFit="1" customWidth="1"/>
    <col min="36" max="36" width="10.125" style="19" customWidth="1"/>
    <col min="37" max="16384" width="8.75" style="19"/>
  </cols>
  <sheetData>
    <row r="1" spans="1:35" x14ac:dyDescent="0.15">
      <c r="B1" s="17"/>
      <c r="C1" s="17"/>
      <c r="D1" s="17"/>
      <c r="E1" s="17"/>
      <c r="F1" s="17"/>
      <c r="G1" s="17"/>
      <c r="I1" s="17"/>
      <c r="J1" s="17"/>
      <c r="K1" s="17"/>
      <c r="L1" s="17"/>
      <c r="M1" s="17"/>
      <c r="O1" s="17"/>
      <c r="P1" s="17"/>
      <c r="Q1" s="17"/>
      <c r="R1" s="17"/>
      <c r="S1" s="17"/>
      <c r="T1" s="29"/>
    </row>
    <row r="2" spans="1:35" ht="21" customHeight="1" x14ac:dyDescent="0.15">
      <c r="B2" s="465" t="s">
        <v>26</v>
      </c>
      <c r="C2" s="465" t="s">
        <v>27</v>
      </c>
      <c r="D2" s="916" t="s">
        <v>336</v>
      </c>
      <c r="E2" s="916"/>
      <c r="F2" s="916"/>
      <c r="G2" s="465" t="s">
        <v>337</v>
      </c>
      <c r="I2" s="916" t="s">
        <v>338</v>
      </c>
      <c r="J2" s="916"/>
      <c r="K2" s="916"/>
      <c r="L2" s="916"/>
      <c r="M2" s="916"/>
      <c r="O2" s="916" t="s">
        <v>59</v>
      </c>
      <c r="P2" s="916"/>
      <c r="Q2" s="916"/>
      <c r="R2" s="916"/>
      <c r="S2" s="916"/>
      <c r="T2" s="465"/>
      <c r="U2" s="244" t="s">
        <v>230</v>
      </c>
      <c r="V2" s="464" t="str">
        <f>B2</f>
        <v>Energikilde</v>
      </c>
      <c r="W2" s="464" t="s">
        <v>339</v>
      </c>
      <c r="X2" s="464" t="s">
        <v>27</v>
      </c>
      <c r="Y2" s="464" t="s">
        <v>232</v>
      </c>
      <c r="Z2" s="464" t="s">
        <v>234</v>
      </c>
      <c r="AA2" s="244" t="s">
        <v>191</v>
      </c>
      <c r="AB2" s="245" t="s">
        <v>340</v>
      </c>
      <c r="AC2" s="246"/>
      <c r="AE2" s="915" t="s">
        <v>341</v>
      </c>
      <c r="AF2" s="915"/>
      <c r="AG2" s="915"/>
      <c r="AH2" s="915"/>
      <c r="AI2" s="915"/>
    </row>
    <row r="3" spans="1:35" x14ac:dyDescent="0.15">
      <c r="B3" s="465"/>
      <c r="C3" s="465"/>
      <c r="D3" s="465"/>
      <c r="E3" s="465"/>
      <c r="F3" s="465"/>
      <c r="G3" s="465"/>
      <c r="AE3" s="247" t="s">
        <v>26</v>
      </c>
      <c r="AF3" s="247" t="s">
        <v>339</v>
      </c>
      <c r="AG3" s="247" t="s">
        <v>342</v>
      </c>
      <c r="AH3" s="247" t="s">
        <v>343</v>
      </c>
      <c r="AI3" s="247" t="s">
        <v>344</v>
      </c>
    </row>
    <row r="4" spans="1:35" x14ac:dyDescent="0.15">
      <c r="A4" s="19" t="s">
        <v>345</v>
      </c>
      <c r="B4" s="17"/>
      <c r="C4" s="28"/>
      <c r="D4" s="28" t="s">
        <v>239</v>
      </c>
      <c r="E4" s="28" t="s">
        <v>346</v>
      </c>
      <c r="F4" s="28" t="s">
        <v>238</v>
      </c>
      <c r="G4" s="28" t="s">
        <v>239</v>
      </c>
      <c r="I4" s="17" t="s">
        <v>347</v>
      </c>
      <c r="J4" s="17" t="s">
        <v>241</v>
      </c>
      <c r="K4" s="17" t="s">
        <v>242</v>
      </c>
      <c r="L4" s="17" t="s">
        <v>238</v>
      </c>
      <c r="M4" s="17" t="s">
        <v>236</v>
      </c>
      <c r="O4" s="17" t="s">
        <v>347</v>
      </c>
      <c r="P4" s="17" t="s">
        <v>241</v>
      </c>
      <c r="Q4" s="17" t="s">
        <v>242</v>
      </c>
      <c r="R4" s="17" t="s">
        <v>238</v>
      </c>
      <c r="S4" s="17" t="s">
        <v>236</v>
      </c>
      <c r="T4" s="29"/>
    </row>
    <row r="5" spans="1:35" x14ac:dyDescent="0.15">
      <c r="B5" s="29" t="s">
        <v>145</v>
      </c>
      <c r="C5" s="32"/>
      <c r="D5" s="32" t="s">
        <v>245</v>
      </c>
      <c r="E5" s="32"/>
      <c r="F5" s="32" t="s">
        <v>245</v>
      </c>
      <c r="G5" s="32" t="s">
        <v>245</v>
      </c>
      <c r="I5" s="46"/>
      <c r="J5" s="43"/>
      <c r="K5" s="44"/>
      <c r="L5" s="44"/>
      <c r="M5" s="44"/>
      <c r="O5" s="46"/>
      <c r="P5" s="43"/>
      <c r="Q5" s="44"/>
      <c r="R5" s="44"/>
      <c r="S5" s="44"/>
      <c r="T5" s="44"/>
      <c r="V5" s="19" t="str">
        <f t="shared" ref="V5" si="0">LEFT(B5,FIND("(",B5)-1)</f>
        <v/>
      </c>
      <c r="AE5" s="29" t="s">
        <v>145</v>
      </c>
      <c r="AF5" s="32"/>
    </row>
    <row r="6" spans="1:35" x14ac:dyDescent="0.15">
      <c r="B6" s="19" t="s">
        <v>348</v>
      </c>
      <c r="C6" s="462" t="s">
        <v>349</v>
      </c>
      <c r="E6" s="85">
        <f ca="1">L61</f>
        <v>8.430983330327738E-4</v>
      </c>
      <c r="F6" s="81">
        <f ca="1">K61</f>
        <v>3.6064372252241602E-3</v>
      </c>
      <c r="G6" s="58">
        <f ca="1">J61</f>
        <v>2.397333E-4</v>
      </c>
      <c r="I6" s="19">
        <f ca="1">$C$67*SUMIF(Effektmåling!$D$144:$E$148,'DB energi'!B6,Effektmåling!$I$144:$I$148)</f>
        <v>0</v>
      </c>
      <c r="J6" s="480" t="str">
        <f ca="1">IF(I6=0,"",I6*(D6+G6))</f>
        <v/>
      </c>
      <c r="K6" s="48" t="str">
        <f ca="1">IF(J6="","",RANK(J6,$J$6:$J$37,0)+COUNTIF($J$6:J6,J6)-1)</f>
        <v/>
      </c>
      <c r="L6" s="19" t="str">
        <f ca="1">IF(I6=0,"",I6*F6)</f>
        <v/>
      </c>
      <c r="M6" s="60" t="str">
        <f ca="1">IF(I6=0,"",I6*E6)</f>
        <v/>
      </c>
      <c r="O6" s="19">
        <f ca="1">$C$67*SUMIF(Effektmåling!$D$71:$E$75,'DB energi'!B6,Effektmåling!$I$71:$I$75)</f>
        <v>0</v>
      </c>
      <c r="P6" s="41" t="str">
        <f ca="1">IF(O6=0,"",O6*G42)</f>
        <v/>
      </c>
      <c r="Q6" s="48" t="str">
        <f ca="1">IF(P6="","",RANK(P6,$P$6:$P$37,0)+COUNTIF($P$6:P6,P6)-1)</f>
        <v/>
      </c>
      <c r="R6" s="19" t="str">
        <f ca="1">IF(O6=0,"",O6*F6)</f>
        <v/>
      </c>
      <c r="S6" s="19" t="str">
        <f ca="1">IF(O6=0,"",O6*E6)</f>
        <v/>
      </c>
      <c r="U6" s="19">
        <f ca="1">IF(X6=0,1000000,RANK(X6,$X$6:$X$37,0)+COUNTIF($X$6:$X$37,X6)-1)</f>
        <v>1000000</v>
      </c>
      <c r="V6" s="19" t="str">
        <f>B6</f>
        <v>El (kWh)</v>
      </c>
      <c r="W6" s="19" t="str">
        <f t="shared" ref="W6:W37" si="1">C6</f>
        <v>kWh</v>
      </c>
      <c r="X6" s="19">
        <f ca="1">O6+I6</f>
        <v>0</v>
      </c>
      <c r="Y6" s="19">
        <f>Y5+1</f>
        <v>1</v>
      </c>
      <c r="Z6" s="19">
        <f ca="1">IF(AC6&lt;100,AC6,0)</f>
        <v>0</v>
      </c>
      <c r="AA6" s="19">
        <f ca="1">IF(Z6&gt;0,VLOOKUP(Z6,$U$6:$X$37,2,FALSE),0)</f>
        <v>0</v>
      </c>
      <c r="AB6" s="19">
        <f ca="1">IF(Z6&gt;0,VLOOKUP(Z6,$U$6:$X$37,4,FALSE),0)</f>
        <v>0</v>
      </c>
      <c r="AC6" s="19">
        <f ca="1">SMALL($U$6:$U$37,Y6)</f>
        <v>1000000</v>
      </c>
      <c r="AE6" s="19" t="s">
        <v>348</v>
      </c>
      <c r="AF6" s="462" t="s">
        <v>349</v>
      </c>
      <c r="AI6" s="19">
        <v>3.5999999999999999E-3</v>
      </c>
    </row>
    <row r="7" spans="1:35" x14ac:dyDescent="0.15">
      <c r="A7" s="19">
        <v>5.0319999999999999E-5</v>
      </c>
      <c r="B7" s="19" t="s">
        <v>350</v>
      </c>
      <c r="C7" s="462" t="s">
        <v>349</v>
      </c>
      <c r="D7" s="54"/>
      <c r="E7" s="86">
        <v>4.3863677701969434E-6</v>
      </c>
      <c r="F7" s="83">
        <v>1.2004886430987154E-4</v>
      </c>
      <c r="G7" s="22">
        <f>132.8951/10^6</f>
        <v>1.3289510000000001E-4</v>
      </c>
      <c r="H7" s="66" t="s">
        <v>351</v>
      </c>
      <c r="I7" s="474">
        <f ca="1">$C$67*SUMIF(Effektmåling!$D$144:$E$148,'DB energi'!B7,Effektmåling!$I$144:$I$148)</f>
        <v>0</v>
      </c>
      <c r="J7" s="41" t="str">
        <f t="shared" ref="J7:J33" ca="1" si="2">IF(I7=0,"",I7*(D7+G7))</f>
        <v/>
      </c>
      <c r="K7" s="48" t="str">
        <f ca="1">IF(J7="","",RANK(J7,$J$6:$J$37,0)+COUNTIF($J$6:J7,J7)-1)</f>
        <v/>
      </c>
      <c r="L7" s="19" t="str">
        <f t="shared" ref="L7:L37" ca="1" si="3">IF(I7=0,"",I7*F7)</f>
        <v/>
      </c>
      <c r="M7" s="19" t="str">
        <f t="shared" ref="M7:M37" ca="1" si="4">IF(I7=0,"",I7*E7)</f>
        <v/>
      </c>
      <c r="O7" s="474">
        <f ca="1">$C$67*SUMIF(Effektmåling!$D$71:$E$75,'DB energi'!B7,Effektmåling!$I$71:$I$75)</f>
        <v>0</v>
      </c>
      <c r="P7" s="41" t="str">
        <f ca="1">IF(O7=0,"",O7*(D7+G7))</f>
        <v/>
      </c>
      <c r="Q7" s="48" t="str">
        <f ca="1">IF(P7="","",RANK(P7,$P$6:$P$37,0)+COUNTIF($P$6:P7,P7)-1)</f>
        <v/>
      </c>
      <c r="R7" s="19" t="str">
        <f t="shared" ref="R7:R37" ca="1" si="5">IF(O7=0,"",O7*F7)</f>
        <v/>
      </c>
      <c r="S7" s="19" t="str">
        <f t="shared" ref="S7:S37" ca="1" si="6">IF(O7=0,"",O7*E7)</f>
        <v/>
      </c>
      <c r="U7" s="19">
        <f t="shared" ref="U7:U37" ca="1" si="7">IF(X7=0,1000000,RANK(X7,$X$6:$X$37,0)+COUNTIF($X$6:$X$37,X7)-1)</f>
        <v>1000000</v>
      </c>
      <c r="V7" s="19" t="str">
        <f t="shared" ref="V7:V37" si="8">B7</f>
        <v>Fjernvarme (kWh)</v>
      </c>
      <c r="W7" s="19" t="str">
        <f t="shared" si="1"/>
        <v>kWh</v>
      </c>
      <c r="X7" s="19">
        <f t="shared" ref="X7:X37" ca="1" si="9">O7+I7</f>
        <v>0</v>
      </c>
      <c r="Y7" s="19">
        <f t="shared" ref="Y7:Y37" si="10">Y6+1</f>
        <v>2</v>
      </c>
      <c r="Z7" s="19">
        <f t="shared" ref="Z7:Z37" ca="1" si="11">IF(AC7&lt;100,AC7,0)</f>
        <v>0</v>
      </c>
      <c r="AA7" s="19">
        <f t="shared" ref="AA7:AA37" ca="1" si="12">IF(Z7&gt;0,VLOOKUP(Z7,$U$6:$X$37,2,FALSE),0)</f>
        <v>0</v>
      </c>
      <c r="AB7" s="19">
        <f t="shared" ref="AB7:AB37" ca="1" si="13">IF(Z7&gt;0,VLOOKUP(Z7,$U$6:$X$37,4,FALSE),0)</f>
        <v>0</v>
      </c>
      <c r="AC7" s="19">
        <f t="shared" ref="AC7:AC37" ca="1" si="14">SMALL($U$6:$U$37,Y7)</f>
        <v>1000000</v>
      </c>
      <c r="AE7" s="19" t="s">
        <v>350</v>
      </c>
      <c r="AF7" s="462" t="s">
        <v>349</v>
      </c>
      <c r="AI7" s="19">
        <v>3.5999999999999999E-3</v>
      </c>
    </row>
    <row r="8" spans="1:35" x14ac:dyDescent="0.15">
      <c r="A8" s="19">
        <v>1.0000000000000009E-5</v>
      </c>
      <c r="B8" s="19" t="s">
        <v>352</v>
      </c>
      <c r="C8" s="462" t="s">
        <v>349</v>
      </c>
      <c r="D8" s="22"/>
      <c r="E8" s="23">
        <v>4.4056416561177842E-4</v>
      </c>
      <c r="F8" s="77">
        <v>2.9854860902027463E-4</v>
      </c>
      <c r="G8" s="22">
        <v>3.4000000000000002E-4</v>
      </c>
      <c r="I8" s="474">
        <f ca="1">$C$67*SUMIF(Effektmåling!$D$144:$E$148,'DB energi'!B8,Effektmåling!$I$144:$I$148)</f>
        <v>0</v>
      </c>
      <c r="J8" s="41" t="str">
        <f t="shared" ca="1" si="2"/>
        <v/>
      </c>
      <c r="K8" s="48" t="str">
        <f ca="1">IF(J8="","",RANK(J8,$J$6:$J$37,0)+COUNTIF($J$6:J8,J8)-1)</f>
        <v/>
      </c>
      <c r="L8" s="19" t="str">
        <f t="shared" ca="1" si="3"/>
        <v/>
      </c>
      <c r="M8" s="19" t="str">
        <f t="shared" ca="1" si="4"/>
        <v/>
      </c>
      <c r="O8" s="474">
        <f ca="1">$C$67*SUMIF(Effektmåling!$D$71:$E$75,'DB energi'!B8,Effektmåling!$I$71:$I$75)</f>
        <v>0</v>
      </c>
      <c r="P8" s="480" t="str">
        <f t="shared" ref="P8:P37" ca="1" si="15">IF(O8=0,"",O8*(D8+G8))</f>
        <v/>
      </c>
      <c r="Q8" s="48" t="str">
        <f ca="1">IF(P8="","",RANK(P8,$P$6:$P$37,0)+COUNTIF($P$6:P8,P8)-1)</f>
        <v/>
      </c>
      <c r="R8" s="19" t="str">
        <f t="shared" ca="1" si="5"/>
        <v/>
      </c>
      <c r="S8" s="19" t="str">
        <f t="shared" ca="1" si="6"/>
        <v/>
      </c>
      <c r="U8" s="19">
        <f t="shared" ca="1" si="7"/>
        <v>1000000</v>
      </c>
      <c r="V8" s="19" t="str">
        <f t="shared" si="8"/>
        <v>Brunkulsbriketter (kWh)</v>
      </c>
      <c r="W8" s="19" t="str">
        <f t="shared" si="1"/>
        <v>kWh</v>
      </c>
      <c r="X8" s="19">
        <f t="shared" ca="1" si="9"/>
        <v>0</v>
      </c>
      <c r="Y8" s="19">
        <f t="shared" si="10"/>
        <v>3</v>
      </c>
      <c r="Z8" s="19">
        <f t="shared" ca="1" si="11"/>
        <v>0</v>
      </c>
      <c r="AA8" s="19">
        <f t="shared" ca="1" si="12"/>
        <v>0</v>
      </c>
      <c r="AB8" s="19">
        <f t="shared" ca="1" si="13"/>
        <v>0</v>
      </c>
      <c r="AC8" s="19">
        <f t="shared" ca="1" si="14"/>
        <v>1000000</v>
      </c>
      <c r="AE8" s="19" t="s">
        <v>352</v>
      </c>
      <c r="AF8" s="462" t="s">
        <v>349</v>
      </c>
      <c r="AG8" s="19">
        <v>94.6</v>
      </c>
      <c r="AH8" s="19">
        <v>0.34</v>
      </c>
      <c r="AI8" s="451">
        <v>3.5999999999999999E-3</v>
      </c>
    </row>
    <row r="9" spans="1:35" x14ac:dyDescent="0.15">
      <c r="A9" s="19">
        <v>4.7000000000000042E-2</v>
      </c>
      <c r="B9" s="19" t="s">
        <v>353</v>
      </c>
      <c r="C9" s="462" t="s">
        <v>236</v>
      </c>
      <c r="D9" s="22"/>
      <c r="E9" s="23">
        <v>2.2368072065489435</v>
      </c>
      <c r="F9" s="77">
        <v>1.5157739377972228</v>
      </c>
      <c r="G9" s="22">
        <v>1.73</v>
      </c>
      <c r="I9" s="474">
        <f ca="1">$C$67*SUMIF(Effektmåling!$D$144:$E$148,'DB energi'!B9,Effektmåling!$I$144:$I$148)</f>
        <v>0</v>
      </c>
      <c r="J9" s="41" t="str">
        <f t="shared" ca="1" si="2"/>
        <v/>
      </c>
      <c r="K9" s="48" t="str">
        <f ca="1">IF(J9="","",RANK(J9,$J$6:$J$37,0)+COUNTIF($J$6:J9,J9)-1)</f>
        <v/>
      </c>
      <c r="L9" s="19" t="str">
        <f t="shared" ca="1" si="3"/>
        <v/>
      </c>
      <c r="M9" s="19" t="str">
        <f ca="1">IF(I9=0,"",I9*E9)</f>
        <v/>
      </c>
      <c r="O9" s="474">
        <f ca="1">$C$67*SUMIF(Effektmåling!$D$71:$E$75,'DB energi'!B9,Effektmåling!$I$71:$I$75)</f>
        <v>0</v>
      </c>
      <c r="P9" s="41" t="str">
        <f t="shared" ca="1" si="15"/>
        <v/>
      </c>
      <c r="Q9" s="48" t="str">
        <f ca="1">IF(P9="","",RANK(P9,$P$6:$P$37,0)+COUNTIF($P$6:P9,P9)-1)</f>
        <v/>
      </c>
      <c r="R9" s="19" t="str">
        <f t="shared" ca="1" si="5"/>
        <v/>
      </c>
      <c r="S9" s="19" t="str">
        <f t="shared" ca="1" si="6"/>
        <v/>
      </c>
      <c r="U9" s="19">
        <f t="shared" ca="1" si="7"/>
        <v>1000000</v>
      </c>
      <c r="V9" s="19" t="str">
        <f t="shared" si="8"/>
        <v>Brunkulsbriketter (tons)</v>
      </c>
      <c r="W9" s="19" t="str">
        <f t="shared" si="1"/>
        <v>t</v>
      </c>
      <c r="X9" s="19">
        <f t="shared" ca="1" si="9"/>
        <v>0</v>
      </c>
      <c r="Y9" s="19">
        <f t="shared" si="10"/>
        <v>4</v>
      </c>
      <c r="Z9" s="19">
        <f t="shared" ca="1" si="11"/>
        <v>0</v>
      </c>
      <c r="AA9" s="19">
        <f t="shared" ca="1" si="12"/>
        <v>0</v>
      </c>
      <c r="AB9" s="19">
        <f t="shared" ca="1" si="13"/>
        <v>0</v>
      </c>
      <c r="AC9" s="19">
        <f t="shared" ca="1" si="14"/>
        <v>1000000</v>
      </c>
      <c r="AE9" s="19" t="s">
        <v>353</v>
      </c>
      <c r="AF9" s="462" t="s">
        <v>236</v>
      </c>
      <c r="AG9" s="19">
        <v>94.6</v>
      </c>
      <c r="AH9" s="19">
        <v>1731</v>
      </c>
      <c r="AI9" s="248">
        <f t="shared" ref="AI9:AI33" si="16">AH9/AG9</f>
        <v>18.298097251585624</v>
      </c>
    </row>
    <row r="10" spans="1:35" x14ac:dyDescent="0.15">
      <c r="A10" s="19">
        <v>0.33999999999999986</v>
      </c>
      <c r="B10" s="19" t="s">
        <v>354</v>
      </c>
      <c r="C10" s="462" t="s">
        <v>236</v>
      </c>
      <c r="D10" s="22"/>
      <c r="E10" s="23">
        <v>1.2679963736401656</v>
      </c>
      <c r="F10" s="77">
        <v>9.1526566730348797</v>
      </c>
      <c r="G10" s="22">
        <v>3.17</v>
      </c>
      <c r="I10" s="474">
        <f ca="1">$C$67*SUMIF(Effektmåling!$D$144:$E$148,'DB energi'!B10,Effektmåling!$I$144:$I$148)</f>
        <v>0</v>
      </c>
      <c r="J10" s="41" t="str">
        <f t="shared" ca="1" si="2"/>
        <v/>
      </c>
      <c r="K10" s="48" t="str">
        <f ca="1">IF(J10="","",RANK(J10,$J$6:$J$37,0)+COUNTIF($J$6:J10,J10)-1)</f>
        <v/>
      </c>
      <c r="L10" s="19" t="str">
        <f t="shared" ca="1" si="3"/>
        <v/>
      </c>
      <c r="M10" s="19" t="str">
        <f t="shared" ca="1" si="4"/>
        <v/>
      </c>
      <c r="O10" s="474">
        <f ca="1">$C$67*SUMIF(Effektmåling!$D$71:$E$75,'DB energi'!B10,Effektmåling!$I$71:$I$75)</f>
        <v>0</v>
      </c>
      <c r="P10" s="41" t="str">
        <f t="shared" ca="1" si="15"/>
        <v/>
      </c>
      <c r="Q10" s="48" t="str">
        <f ca="1">IF(P10="","",RANK(P10,$P$6:$P$37,0)+COUNTIF($P$6:P10,P10)-1)</f>
        <v/>
      </c>
      <c r="R10" s="19" t="str">
        <f t="shared" ca="1" si="5"/>
        <v/>
      </c>
      <c r="S10" s="19" t="str">
        <f t="shared" ca="1" si="6"/>
        <v/>
      </c>
      <c r="U10" s="19">
        <f t="shared" ca="1" si="7"/>
        <v>1000000</v>
      </c>
      <c r="V10" s="19" t="str">
        <f t="shared" si="8"/>
        <v>Fuelolie (tons)</v>
      </c>
      <c r="W10" s="19" t="str">
        <f t="shared" si="1"/>
        <v>t</v>
      </c>
      <c r="X10" s="19">
        <f t="shared" ca="1" si="9"/>
        <v>0</v>
      </c>
      <c r="Y10" s="19">
        <f t="shared" si="10"/>
        <v>5</v>
      </c>
      <c r="Z10" s="19">
        <f t="shared" ca="1" si="11"/>
        <v>0</v>
      </c>
      <c r="AA10" s="19">
        <f t="shared" ca="1" si="12"/>
        <v>0</v>
      </c>
      <c r="AB10" s="19">
        <f t="shared" ca="1" si="13"/>
        <v>0</v>
      </c>
      <c r="AC10" s="19">
        <f t="shared" ca="1" si="14"/>
        <v>1000000</v>
      </c>
      <c r="AE10" s="19" t="s">
        <v>354</v>
      </c>
      <c r="AF10" s="462" t="s">
        <v>236</v>
      </c>
      <c r="AG10" s="19">
        <v>78</v>
      </c>
      <c r="AH10" s="19">
        <v>3170.7</v>
      </c>
      <c r="AI10" s="19">
        <f t="shared" si="16"/>
        <v>40.65</v>
      </c>
    </row>
    <row r="11" spans="1:35" x14ac:dyDescent="0.15">
      <c r="A11" s="19">
        <v>3.0000000000000028E-5</v>
      </c>
      <c r="B11" s="19" t="s">
        <v>355</v>
      </c>
      <c r="C11" s="462" t="s">
        <v>349</v>
      </c>
      <c r="D11" s="22"/>
      <c r="E11" s="23">
        <v>1.1198828371180952E-4</v>
      </c>
      <c r="F11" s="77">
        <v>8.0835429306006087E-4</v>
      </c>
      <c r="G11" s="22">
        <v>2.8000000000000003E-4</v>
      </c>
      <c r="I11" s="474">
        <f ca="1">$C$67*SUMIF(Effektmåling!$D$144:$E$148,'DB energi'!B11,Effektmåling!$I$144:$I$148)</f>
        <v>0</v>
      </c>
      <c r="J11" s="41" t="str">
        <f t="shared" ca="1" si="2"/>
        <v/>
      </c>
      <c r="K11" s="48" t="str">
        <f ca="1">IF(J11="","",RANK(J11,$J$6:$J$37,0)+COUNTIF($J$6:J11,J11)-1)</f>
        <v/>
      </c>
      <c r="L11" s="19" t="str">
        <f t="shared" ca="1" si="3"/>
        <v/>
      </c>
      <c r="M11" s="19" t="str">
        <f t="shared" ca="1" si="4"/>
        <v/>
      </c>
      <c r="O11" s="474">
        <f ca="1">$C$67*SUMIF(Effektmåling!$D$71:$E$75,'DB energi'!B11,Effektmåling!$I$71:$I$75)</f>
        <v>0</v>
      </c>
      <c r="P11" s="41" t="str">
        <f t="shared" ca="1" si="15"/>
        <v/>
      </c>
      <c r="Q11" s="48" t="str">
        <f ca="1">IF(P11="","",RANK(P11,$P$6:$P$37,0)+COUNTIF($P$6:P11,P11)-1)</f>
        <v/>
      </c>
      <c r="R11" s="19" t="str">
        <f t="shared" ca="1" si="5"/>
        <v/>
      </c>
      <c r="S11" s="19" t="str">
        <f t="shared" ca="1" si="6"/>
        <v/>
      </c>
      <c r="U11" s="19">
        <f t="shared" ca="1" si="7"/>
        <v>1000000</v>
      </c>
      <c r="V11" s="19" t="str">
        <f t="shared" si="8"/>
        <v>Fuelolie (kWh)</v>
      </c>
      <c r="W11" s="19" t="str">
        <f t="shared" si="1"/>
        <v>kWh</v>
      </c>
      <c r="X11" s="19">
        <f t="shared" ca="1" si="9"/>
        <v>0</v>
      </c>
      <c r="Y11" s="19">
        <f t="shared" si="10"/>
        <v>6</v>
      </c>
      <c r="Z11" s="19">
        <f t="shared" ca="1" si="11"/>
        <v>0</v>
      </c>
      <c r="AA11" s="19">
        <f t="shared" ca="1" si="12"/>
        <v>0</v>
      </c>
      <c r="AB11" s="19">
        <f t="shared" ca="1" si="13"/>
        <v>0</v>
      </c>
      <c r="AC11" s="19">
        <f t="shared" ca="1" si="14"/>
        <v>1000000</v>
      </c>
      <c r="AE11" s="19" t="s">
        <v>355</v>
      </c>
      <c r="AF11" s="462" t="s">
        <v>349</v>
      </c>
      <c r="AG11" s="19">
        <v>78</v>
      </c>
      <c r="AH11" s="19">
        <v>0.28079999999999999</v>
      </c>
      <c r="AI11" s="19">
        <f t="shared" si="16"/>
        <v>3.5999999999999999E-3</v>
      </c>
    </row>
    <row r="12" spans="1:35" x14ac:dyDescent="0.15">
      <c r="A12" s="19">
        <v>0.39000000000000012</v>
      </c>
      <c r="B12" s="19" t="s">
        <v>356</v>
      </c>
      <c r="C12" s="462" t="s">
        <v>236</v>
      </c>
      <c r="D12" s="22"/>
      <c r="E12" s="23">
        <v>1.2912955965009285</v>
      </c>
      <c r="F12" s="77">
        <v>10.466571565071025</v>
      </c>
      <c r="G12" s="22">
        <v>3.16</v>
      </c>
      <c r="I12" s="474">
        <f ca="1">$C$67*SUMIF(Effektmåling!$D$144:$E$148,'DB energi'!B12,Effektmåling!$I$144:$I$148)</f>
        <v>0</v>
      </c>
      <c r="J12" s="41" t="str">
        <f t="shared" ca="1" si="2"/>
        <v/>
      </c>
      <c r="K12" s="48" t="str">
        <f ca="1">IF(J12="","",RANK(J12,$J$6:$J$37,0)+COUNTIF($J$6:J12,J12)-1)</f>
        <v/>
      </c>
      <c r="L12" s="19" t="str">
        <f t="shared" ca="1" si="3"/>
        <v/>
      </c>
      <c r="M12" s="19" t="str">
        <f t="shared" ca="1" si="4"/>
        <v/>
      </c>
      <c r="O12" s="474">
        <f ca="1">$C$67*SUMIF(Effektmåling!$D$71:$E$75,'DB energi'!B12,Effektmåling!$I$71:$I$75)</f>
        <v>0</v>
      </c>
      <c r="P12" s="41" t="str">
        <f t="shared" ca="1" si="15"/>
        <v/>
      </c>
      <c r="Q12" s="48" t="str">
        <f ca="1">IF(P12="","",RANK(P12,$P$6:$P$37,0)+COUNTIF($P$6:P12,P12)-1)</f>
        <v/>
      </c>
      <c r="R12" s="19" t="str">
        <f t="shared" ca="1" si="5"/>
        <v/>
      </c>
      <c r="S12" s="19" t="str">
        <f t="shared" ca="1" si="6"/>
        <v/>
      </c>
      <c r="U12" s="19">
        <f t="shared" ca="1" si="7"/>
        <v>1000000</v>
      </c>
      <c r="V12" s="19" t="str">
        <f t="shared" si="8"/>
        <v>Gas-/dieselolie (tons)</v>
      </c>
      <c r="W12" s="19" t="str">
        <f t="shared" si="1"/>
        <v>t</v>
      </c>
      <c r="X12" s="19">
        <f t="shared" ca="1" si="9"/>
        <v>0</v>
      </c>
      <c r="Y12" s="19">
        <f t="shared" si="10"/>
        <v>7</v>
      </c>
      <c r="Z12" s="19">
        <f t="shared" ca="1" si="11"/>
        <v>0</v>
      </c>
      <c r="AA12" s="19">
        <f t="shared" ca="1" si="12"/>
        <v>0</v>
      </c>
      <c r="AB12" s="19">
        <f t="shared" ca="1" si="13"/>
        <v>0</v>
      </c>
      <c r="AC12" s="19">
        <f t="shared" ca="1" si="14"/>
        <v>1000000</v>
      </c>
      <c r="AE12" s="19" t="s">
        <v>356</v>
      </c>
      <c r="AF12" s="462" t="s">
        <v>236</v>
      </c>
      <c r="AG12" s="19">
        <v>74</v>
      </c>
      <c r="AH12" s="19">
        <v>3159.8</v>
      </c>
      <c r="AI12" s="49">
        <f t="shared" si="16"/>
        <v>42.7</v>
      </c>
    </row>
    <row r="13" spans="1:35" x14ac:dyDescent="0.15">
      <c r="A13" s="19">
        <v>3.0000000000000028E-5</v>
      </c>
      <c r="B13" s="19" t="s">
        <v>357</v>
      </c>
      <c r="C13" s="462" t="s">
        <v>349</v>
      </c>
      <c r="D13" s="22"/>
      <c r="E13" s="23">
        <v>1.0912357153528974E-4</v>
      </c>
      <c r="F13" s="77">
        <v>8.8449900549895987E-4</v>
      </c>
      <c r="G13" s="22">
        <v>2.7E-4</v>
      </c>
      <c r="I13" s="474">
        <f ca="1">$C$67*SUMIF(Effektmåling!$D$144:$E$148,'DB energi'!B13,Effektmåling!$I$144:$I$148)</f>
        <v>0</v>
      </c>
      <c r="J13" s="41" t="str">
        <f t="shared" ca="1" si="2"/>
        <v/>
      </c>
      <c r="K13" s="48" t="str">
        <f ca="1">IF(J13="","",RANK(J13,$J$6:$J$37,0)+COUNTIF($J$6:J13,J13)-1)</f>
        <v/>
      </c>
      <c r="L13" s="19" t="str">
        <f t="shared" ca="1" si="3"/>
        <v/>
      </c>
      <c r="M13" s="19" t="str">
        <f t="shared" ca="1" si="4"/>
        <v/>
      </c>
      <c r="O13" s="474">
        <f ca="1">$C$67*SUMIF(Effektmåling!$D$71:$E$75,'DB energi'!B13,Effektmåling!$I$71:$I$75)</f>
        <v>0</v>
      </c>
      <c r="P13" s="41" t="str">
        <f t="shared" ca="1" si="15"/>
        <v/>
      </c>
      <c r="Q13" s="48" t="str">
        <f ca="1">IF(P13="","",RANK(P13,$P$6:$P$37,0)+COUNTIF($P$6:P13,P13)-1)</f>
        <v/>
      </c>
      <c r="R13" s="19" t="str">
        <f t="shared" ca="1" si="5"/>
        <v/>
      </c>
      <c r="S13" s="19" t="str">
        <f t="shared" ca="1" si="6"/>
        <v/>
      </c>
      <c r="U13" s="19">
        <f t="shared" ca="1" si="7"/>
        <v>1000000</v>
      </c>
      <c r="V13" s="19" t="str">
        <f t="shared" si="8"/>
        <v>Gas-/dieselolie (kWh)</v>
      </c>
      <c r="W13" s="19" t="str">
        <f t="shared" si="1"/>
        <v>kWh</v>
      </c>
      <c r="X13" s="19">
        <f t="shared" ca="1" si="9"/>
        <v>0</v>
      </c>
      <c r="Y13" s="19">
        <f t="shared" si="10"/>
        <v>8</v>
      </c>
      <c r="Z13" s="19">
        <f t="shared" ca="1" si="11"/>
        <v>0</v>
      </c>
      <c r="AA13" s="19">
        <f t="shared" ca="1" si="12"/>
        <v>0</v>
      </c>
      <c r="AB13" s="19">
        <f t="shared" ca="1" si="13"/>
        <v>0</v>
      </c>
      <c r="AC13" s="19">
        <f t="shared" ca="1" si="14"/>
        <v>1000000</v>
      </c>
      <c r="AE13" s="19" t="s">
        <v>357</v>
      </c>
      <c r="AF13" s="462" t="s">
        <v>349</v>
      </c>
      <c r="AG13" s="19">
        <v>74</v>
      </c>
      <c r="AH13" s="19">
        <v>0.26640000000000003</v>
      </c>
      <c r="AI13" s="49">
        <f t="shared" si="16"/>
        <v>3.6000000000000003E-3</v>
      </c>
    </row>
    <row r="14" spans="1:35" x14ac:dyDescent="0.15">
      <c r="A14" s="19">
        <v>0</v>
      </c>
      <c r="B14" s="19" t="s">
        <v>358</v>
      </c>
      <c r="C14" s="462" t="s">
        <v>359</v>
      </c>
      <c r="D14" s="22"/>
      <c r="E14" s="23">
        <v>9.7047229618717678E-4</v>
      </c>
      <c r="F14" s="77">
        <v>7.8661444889040824E-3</v>
      </c>
      <c r="G14" s="22">
        <v>2.66E-3</v>
      </c>
      <c r="I14" s="474">
        <f ca="1">$C$67*SUMIF(Effektmåling!$D$144:$E$148,'DB energi'!B14,Effektmåling!$I$144:$I$148)</f>
        <v>0</v>
      </c>
      <c r="J14" s="41" t="str">
        <f t="shared" ca="1" si="2"/>
        <v/>
      </c>
      <c r="K14" s="48" t="str">
        <f ca="1">IF(J14="","",RANK(J14,$J$6:$J$37,0)+COUNTIF($J$6:J14,J14)-1)</f>
        <v/>
      </c>
      <c r="L14" s="19" t="str">
        <f t="shared" ca="1" si="3"/>
        <v/>
      </c>
      <c r="M14" s="19" t="str">
        <f t="shared" ca="1" si="4"/>
        <v/>
      </c>
      <c r="O14" s="474">
        <f ca="1">$C$67*SUMIF(Effektmåling!$D$71:$E$75,'DB energi'!B14,Effektmåling!$I$71:$I$75)</f>
        <v>0</v>
      </c>
      <c r="P14" s="41" t="str">
        <f t="shared" ca="1" si="15"/>
        <v/>
      </c>
      <c r="Q14" s="48" t="str">
        <f ca="1">IF(P14="","",RANK(P14,$P$6:$P$37,0)+COUNTIF($P$6:P14,P14)-1)</f>
        <v/>
      </c>
      <c r="R14" s="19" t="str">
        <f t="shared" ca="1" si="5"/>
        <v/>
      </c>
      <c r="S14" s="19" t="str">
        <f t="shared" ca="1" si="6"/>
        <v/>
      </c>
      <c r="U14" s="19">
        <f t="shared" ca="1" si="7"/>
        <v>1000000</v>
      </c>
      <c r="V14" s="19" t="str">
        <f t="shared" si="8"/>
        <v>Gas-/dieselolie (liter)</v>
      </c>
      <c r="W14" s="19" t="str">
        <f t="shared" si="1"/>
        <v>liter</v>
      </c>
      <c r="X14" s="19">
        <f t="shared" ca="1" si="9"/>
        <v>0</v>
      </c>
      <c r="Y14" s="19">
        <f t="shared" si="10"/>
        <v>9</v>
      </c>
      <c r="Z14" s="19">
        <f t="shared" ca="1" si="11"/>
        <v>0</v>
      </c>
      <c r="AA14" s="19">
        <f t="shared" ca="1" si="12"/>
        <v>0</v>
      </c>
      <c r="AB14" s="19">
        <f t="shared" ca="1" si="13"/>
        <v>0</v>
      </c>
      <c r="AC14" s="19">
        <f t="shared" ca="1" si="14"/>
        <v>1000000</v>
      </c>
      <c r="AE14" s="19" t="s">
        <v>358</v>
      </c>
      <c r="AF14" s="462" t="s">
        <v>359</v>
      </c>
      <c r="AG14" s="19">
        <v>74</v>
      </c>
      <c r="AH14" s="19">
        <v>2.6553</v>
      </c>
      <c r="AI14" s="49">
        <f t="shared" si="16"/>
        <v>3.5882432432432429E-2</v>
      </c>
    </row>
    <row r="15" spans="1:35" x14ac:dyDescent="0.15">
      <c r="A15" s="19">
        <v>0.75999999999999979</v>
      </c>
      <c r="B15" s="19" t="s">
        <v>360</v>
      </c>
      <c r="C15" s="462" t="s">
        <v>236</v>
      </c>
      <c r="D15" s="22"/>
      <c r="E15" s="23">
        <v>1.5718180187259154</v>
      </c>
      <c r="F15" s="77">
        <v>1.8649253336753224</v>
      </c>
      <c r="G15" s="22">
        <v>3.16</v>
      </c>
      <c r="I15" s="474">
        <f ca="1">$C$67*SUMIF(Effektmåling!$D$144:$E$148,'DB energi'!B15,Effektmåling!$I$144:$I$148)</f>
        <v>0</v>
      </c>
      <c r="J15" s="41" t="str">
        <f t="shared" ca="1" si="2"/>
        <v/>
      </c>
      <c r="K15" s="48" t="str">
        <f ca="1">IF(J15="","",RANK(J15,$J$6:$J$37,0)+COUNTIF($J$6:J15,J15)-1)</f>
        <v/>
      </c>
      <c r="L15" s="19" t="str">
        <f t="shared" ca="1" si="3"/>
        <v/>
      </c>
      <c r="M15" s="19" t="str">
        <f t="shared" ca="1" si="4"/>
        <v/>
      </c>
      <c r="O15" s="474">
        <f ca="1">$C$67*SUMIF(Effektmåling!$D$71:$E$75,'DB energi'!B15,Effektmåling!$I$71:$I$75)</f>
        <v>0</v>
      </c>
      <c r="P15" s="41" t="str">
        <f t="shared" ca="1" si="15"/>
        <v/>
      </c>
      <c r="Q15" s="48" t="str">
        <f ca="1">IF(P15="","",RANK(P15,$P$6:$P$37,0)+COUNTIF($P$6:P15,P15)-1)</f>
        <v/>
      </c>
      <c r="R15" s="19" t="str">
        <f t="shared" ca="1" si="5"/>
        <v/>
      </c>
      <c r="S15" s="19" t="str">
        <f t="shared" ca="1" si="6"/>
        <v/>
      </c>
      <c r="U15" s="19">
        <f t="shared" ca="1" si="7"/>
        <v>1000000</v>
      </c>
      <c r="V15" s="19" t="str">
        <f t="shared" si="8"/>
        <v>Koks (tons)</v>
      </c>
      <c r="W15" s="19" t="str">
        <f t="shared" si="1"/>
        <v>t</v>
      </c>
      <c r="X15" s="19">
        <f t="shared" ca="1" si="9"/>
        <v>0</v>
      </c>
      <c r="Y15" s="19">
        <f t="shared" si="10"/>
        <v>10</v>
      </c>
      <c r="Z15" s="19">
        <f t="shared" ca="1" si="11"/>
        <v>0</v>
      </c>
      <c r="AA15" s="19">
        <f t="shared" ca="1" si="12"/>
        <v>0</v>
      </c>
      <c r="AB15" s="19">
        <f t="shared" ca="1" si="13"/>
        <v>0</v>
      </c>
      <c r="AC15" s="19">
        <f t="shared" ca="1" si="14"/>
        <v>1000000</v>
      </c>
      <c r="AE15" s="19" t="s">
        <v>360</v>
      </c>
      <c r="AF15" s="462" t="s">
        <v>236</v>
      </c>
      <c r="AG15" s="19">
        <v>108</v>
      </c>
      <c r="AH15" s="19">
        <v>3164.4</v>
      </c>
      <c r="AI15" s="49">
        <f t="shared" si="16"/>
        <v>29.3</v>
      </c>
    </row>
    <row r="16" spans="1:35" x14ac:dyDescent="0.15">
      <c r="A16" s="19">
        <v>9.3999999999999967E-5</v>
      </c>
      <c r="B16" s="19" t="s">
        <v>361</v>
      </c>
      <c r="C16" s="462" t="s">
        <v>349</v>
      </c>
      <c r="D16" s="22"/>
      <c r="E16" s="23">
        <v>1.9367043445015744E-4</v>
      </c>
      <c r="F16" s="77">
        <v>2.2978544289928079E-4</v>
      </c>
      <c r="G16" s="22">
        <v>3.8900000000000002E-4</v>
      </c>
      <c r="I16" s="474">
        <f ca="1">$C$67*SUMIF(Effektmåling!$D$144:$E$148,'DB energi'!B16,Effektmåling!$I$144:$I$148)</f>
        <v>0</v>
      </c>
      <c r="J16" s="41" t="str">
        <f t="shared" ca="1" si="2"/>
        <v/>
      </c>
      <c r="K16" s="48" t="str">
        <f ca="1">IF(J16="","",RANK(J16,$J$6:$J$37,0)+COUNTIF($J$6:J16,J16)-1)</f>
        <v/>
      </c>
      <c r="L16" s="19" t="str">
        <f t="shared" ca="1" si="3"/>
        <v/>
      </c>
      <c r="M16" s="19" t="str">
        <f t="shared" ca="1" si="4"/>
        <v/>
      </c>
      <c r="O16" s="474">
        <f ca="1">$C$67*SUMIF(Effektmåling!$D$71:$E$75,'DB energi'!B16,Effektmåling!$I$71:$I$75)</f>
        <v>0</v>
      </c>
      <c r="P16" s="41" t="str">
        <f t="shared" ca="1" si="15"/>
        <v/>
      </c>
      <c r="Q16" s="48" t="str">
        <f ca="1">IF(P16="","",RANK(P16,$P$6:$P$37,0)+COUNTIF($P$6:P16,P16)-1)</f>
        <v/>
      </c>
      <c r="R16" s="19" t="str">
        <f t="shared" ca="1" si="5"/>
        <v/>
      </c>
      <c r="S16" s="19" t="str">
        <f t="shared" ca="1" si="6"/>
        <v/>
      </c>
      <c r="U16" s="19">
        <f t="shared" ca="1" si="7"/>
        <v>1000000</v>
      </c>
      <c r="V16" s="19" t="str">
        <f t="shared" si="8"/>
        <v>Koks (kWh)</v>
      </c>
      <c r="W16" s="19" t="str">
        <f t="shared" si="1"/>
        <v>kWh</v>
      </c>
      <c r="X16" s="19">
        <f t="shared" ca="1" si="9"/>
        <v>0</v>
      </c>
      <c r="Y16" s="19">
        <f t="shared" si="10"/>
        <v>11</v>
      </c>
      <c r="Z16" s="19">
        <f t="shared" ca="1" si="11"/>
        <v>0</v>
      </c>
      <c r="AA16" s="19">
        <f t="shared" ca="1" si="12"/>
        <v>0</v>
      </c>
      <c r="AB16" s="19">
        <f t="shared" ca="1" si="13"/>
        <v>0</v>
      </c>
      <c r="AC16" s="19">
        <f t="shared" ca="1" si="14"/>
        <v>1000000</v>
      </c>
      <c r="AE16" s="19" t="s">
        <v>361</v>
      </c>
      <c r="AF16" s="462" t="s">
        <v>349</v>
      </c>
      <c r="AG16" s="19">
        <v>108</v>
      </c>
      <c r="AH16" s="19">
        <v>0.38879999999999998</v>
      </c>
      <c r="AI16" s="454">
        <f t="shared" si="16"/>
        <v>3.5999999999999999E-3</v>
      </c>
    </row>
    <row r="17" spans="1:36" x14ac:dyDescent="0.15">
      <c r="A17" s="19">
        <v>0.31000000000000028</v>
      </c>
      <c r="B17" s="19" t="s">
        <v>362</v>
      </c>
      <c r="C17" s="462" t="s">
        <v>236</v>
      </c>
      <c r="D17" s="22"/>
      <c r="E17" s="23">
        <v>1.5682283098084024</v>
      </c>
      <c r="F17" s="77">
        <v>0.42165502412791028</v>
      </c>
      <c r="G17" s="22">
        <v>2.52</v>
      </c>
      <c r="I17" s="474">
        <f ca="1">$C$67*SUMIF(Effektmåling!$D$144:$E$148,'DB energi'!B17,Effektmåling!$I$144:$I$148)</f>
        <v>0</v>
      </c>
      <c r="J17" s="41" t="str">
        <f t="shared" ca="1" si="2"/>
        <v/>
      </c>
      <c r="K17" s="48" t="str">
        <f ca="1">IF(J17="","",RANK(J17,$J$6:$J$37,0)+COUNTIF($J$6:J17,J17)-1)</f>
        <v/>
      </c>
      <c r="L17" s="19" t="str">
        <f t="shared" ca="1" si="3"/>
        <v/>
      </c>
      <c r="M17" s="19" t="str">
        <f t="shared" ca="1" si="4"/>
        <v/>
      </c>
      <c r="O17" s="474">
        <f ca="1">$C$67*SUMIF(Effektmåling!$D$71:$E$75,'DB energi'!B17,Effektmåling!$I$71:$I$75)</f>
        <v>0</v>
      </c>
      <c r="P17" s="41" t="str">
        <f t="shared" ca="1" si="15"/>
        <v/>
      </c>
      <c r="Q17" s="48" t="str">
        <f ca="1">IF(P17="","",RANK(P17,$P$6:$P$37,0)+COUNTIF($P$6:P17,P17)-1)</f>
        <v/>
      </c>
      <c r="R17" s="19" t="str">
        <f t="shared" ca="1" si="5"/>
        <v/>
      </c>
      <c r="S17" s="19" t="str">
        <f t="shared" ca="1" si="6"/>
        <v/>
      </c>
      <c r="U17" s="19">
        <f t="shared" ca="1" si="7"/>
        <v>1000000</v>
      </c>
      <c r="V17" s="19" t="str">
        <f t="shared" si="8"/>
        <v>Kul (tons)</v>
      </c>
      <c r="W17" s="19" t="str">
        <f t="shared" si="1"/>
        <v>t</v>
      </c>
      <c r="X17" s="19">
        <f t="shared" ca="1" si="9"/>
        <v>0</v>
      </c>
      <c r="Y17" s="19">
        <f t="shared" si="10"/>
        <v>12</v>
      </c>
      <c r="Z17" s="19">
        <f t="shared" ca="1" si="11"/>
        <v>0</v>
      </c>
      <c r="AA17" s="19">
        <f t="shared" ca="1" si="12"/>
        <v>0</v>
      </c>
      <c r="AB17" s="19">
        <f t="shared" ca="1" si="13"/>
        <v>0</v>
      </c>
      <c r="AC17" s="19">
        <f t="shared" ca="1" si="14"/>
        <v>1000000</v>
      </c>
      <c r="AE17" s="19" t="s">
        <v>362</v>
      </c>
      <c r="AF17" s="462" t="s">
        <v>236</v>
      </c>
      <c r="AG17" s="19">
        <v>95</v>
      </c>
      <c r="AH17" s="19">
        <v>2517.5</v>
      </c>
      <c r="AI17" s="49">
        <f t="shared" si="16"/>
        <v>26.5</v>
      </c>
    </row>
    <row r="18" spans="1:36" x14ac:dyDescent="0.15">
      <c r="A18" s="19">
        <v>4.3000000000000036E-5</v>
      </c>
      <c r="B18" s="19" t="s">
        <v>363</v>
      </c>
      <c r="C18" s="462" t="s">
        <v>364</v>
      </c>
      <c r="D18" s="22"/>
      <c r="E18" s="23">
        <v>2.1334554744743286E-4</v>
      </c>
      <c r="F18" s="77">
        <v>5.7362962646376496E-5</v>
      </c>
      <c r="G18" s="22">
        <v>3.4200000000000002E-4</v>
      </c>
      <c r="I18" s="474">
        <f ca="1">$C$67*SUMIF(Effektmåling!$D$144:$E$148,'DB energi'!B18,Effektmåling!$I$144:$I$148)</f>
        <v>0</v>
      </c>
      <c r="J18" s="41" t="str">
        <f t="shared" ca="1" si="2"/>
        <v/>
      </c>
      <c r="K18" s="48" t="str">
        <f ca="1">IF(J18="","",RANK(J18,$J$6:$J$37,0)+COUNTIF($J$6:J18,J18)-1)</f>
        <v/>
      </c>
      <c r="L18" s="19" t="str">
        <f t="shared" ca="1" si="3"/>
        <v/>
      </c>
      <c r="M18" s="19" t="str">
        <f t="shared" ca="1" si="4"/>
        <v/>
      </c>
      <c r="O18" s="474">
        <f ca="1">$C$67*SUMIF(Effektmåling!$D$71:$E$75,'DB energi'!B18,Effektmåling!$I$71:$I$75)</f>
        <v>0</v>
      </c>
      <c r="P18" s="41" t="str">
        <f t="shared" ca="1" si="15"/>
        <v/>
      </c>
      <c r="Q18" s="48" t="str">
        <f ca="1">IF(P18="","",RANK(P18,$P$6:$P$37,0)+COUNTIF($P$6:P18,P18)-1)</f>
        <v/>
      </c>
      <c r="R18" s="19" t="str">
        <f t="shared" ca="1" si="5"/>
        <v/>
      </c>
      <c r="S18" s="19" t="str">
        <f t="shared" ca="1" si="6"/>
        <v/>
      </c>
      <c r="U18" s="19">
        <f t="shared" ca="1" si="7"/>
        <v>1000000</v>
      </c>
      <c r="V18" s="19" t="str">
        <f t="shared" si="8"/>
        <v>Kul (kwh)</v>
      </c>
      <c r="W18" s="19" t="str">
        <f t="shared" si="1"/>
        <v>kwh</v>
      </c>
      <c r="X18" s="19">
        <f t="shared" ca="1" si="9"/>
        <v>0</v>
      </c>
      <c r="Y18" s="19">
        <f t="shared" si="10"/>
        <v>13</v>
      </c>
      <c r="Z18" s="19">
        <f t="shared" ca="1" si="11"/>
        <v>0</v>
      </c>
      <c r="AA18" s="19">
        <f t="shared" ca="1" si="12"/>
        <v>0</v>
      </c>
      <c r="AB18" s="19">
        <f t="shared" ca="1" si="13"/>
        <v>0</v>
      </c>
      <c r="AC18" s="19">
        <f t="shared" ca="1" si="14"/>
        <v>1000000</v>
      </c>
      <c r="AE18" s="19" t="s">
        <v>363</v>
      </c>
      <c r="AF18" s="462" t="s">
        <v>364</v>
      </c>
      <c r="AG18" s="19">
        <v>95</v>
      </c>
      <c r="AH18" s="19">
        <v>0.34200000000000003</v>
      </c>
      <c r="AI18" s="49">
        <f t="shared" si="16"/>
        <v>3.6000000000000003E-3</v>
      </c>
    </row>
    <row r="19" spans="1:36" x14ac:dyDescent="0.15">
      <c r="A19" s="19">
        <v>8.9999999999999965E-5</v>
      </c>
      <c r="B19" s="19" t="s">
        <v>365</v>
      </c>
      <c r="C19" s="462" t="s">
        <v>349</v>
      </c>
      <c r="D19" s="22"/>
      <c r="E19" s="23">
        <v>1.0188630032941395E-4</v>
      </c>
      <c r="F19" s="77">
        <v>8.5953373972083894E-4</v>
      </c>
      <c r="G19" s="22">
        <v>2.3400000000000002E-4</v>
      </c>
      <c r="I19" s="474">
        <f ca="1">$C$67*SUMIF(Effektmåling!$D$144:$E$148,'DB energi'!B19,Effektmåling!$I$144:$I$148)</f>
        <v>0</v>
      </c>
      <c r="J19" s="41" t="str">
        <f t="shared" ca="1" si="2"/>
        <v/>
      </c>
      <c r="K19" s="48" t="str">
        <f ca="1">IF(J19="","",RANK(J19,$J$6:$J$37,0)+COUNTIF($J$6:J19,J19)-1)</f>
        <v/>
      </c>
      <c r="L19" s="19" t="str">
        <f t="shared" ca="1" si="3"/>
        <v/>
      </c>
      <c r="M19" s="19" t="str">
        <f t="shared" ca="1" si="4"/>
        <v/>
      </c>
      <c r="O19" s="474">
        <f ca="1">$C$67*SUMIF(Effektmåling!$D$71:$E$75,'DB energi'!B19,Effektmåling!$I$71:$I$75)</f>
        <v>0</v>
      </c>
      <c r="P19" s="41" t="str">
        <f t="shared" ca="1" si="15"/>
        <v/>
      </c>
      <c r="Q19" s="48" t="str">
        <f ca="1">IF(P19="","",RANK(P19,$P$6:$P$37,0)+COUNTIF($P$6:P19,P19)-1)</f>
        <v/>
      </c>
      <c r="R19" s="19" t="str">
        <f t="shared" ca="1" si="5"/>
        <v/>
      </c>
      <c r="S19" s="19" t="str">
        <f t="shared" ca="1" si="6"/>
        <v/>
      </c>
      <c r="U19" s="19">
        <f t="shared" ca="1" si="7"/>
        <v>1000000</v>
      </c>
      <c r="V19" s="19" t="str">
        <f>B19</f>
        <v>LPG (flaskegas) (kWh)</v>
      </c>
      <c r="W19" s="19" t="str">
        <f t="shared" si="1"/>
        <v>kWh</v>
      </c>
      <c r="X19" s="19">
        <f t="shared" ca="1" si="9"/>
        <v>0</v>
      </c>
      <c r="Y19" s="19">
        <f t="shared" si="10"/>
        <v>14</v>
      </c>
      <c r="Z19" s="19">
        <f t="shared" ca="1" si="11"/>
        <v>0</v>
      </c>
      <c r="AA19" s="19">
        <f t="shared" ca="1" si="12"/>
        <v>0</v>
      </c>
      <c r="AB19" s="19">
        <f t="shared" ca="1" si="13"/>
        <v>0</v>
      </c>
      <c r="AC19" s="19">
        <f t="shared" ca="1" si="14"/>
        <v>1000000</v>
      </c>
      <c r="AE19" s="19" t="s">
        <v>365</v>
      </c>
      <c r="AF19" s="462" t="s">
        <v>349</v>
      </c>
      <c r="AG19" s="19">
        <v>65</v>
      </c>
      <c r="AH19" s="19">
        <v>0.23400000000000001</v>
      </c>
      <c r="AI19" s="49">
        <f t="shared" si="16"/>
        <v>3.6000000000000003E-3</v>
      </c>
    </row>
    <row r="20" spans="1:36" x14ac:dyDescent="0.15">
      <c r="A20" s="19">
        <v>6.2999999999999992E-4</v>
      </c>
      <c r="B20" s="19" t="s">
        <v>366</v>
      </c>
      <c r="C20" s="462" t="s">
        <v>359</v>
      </c>
      <c r="D20" s="22"/>
      <c r="E20" s="23">
        <v>7.1068839118665285E-4</v>
      </c>
      <c r="F20" s="77">
        <v>5.995513122744124E-3</v>
      </c>
      <c r="G20" s="22">
        <v>1.6299999999999999E-3</v>
      </c>
      <c r="I20" s="474">
        <f ca="1">$C$67*SUMIF(Effektmåling!$D$144:$E$148,'DB energi'!B20,Effektmåling!$I$144:$I$148)</f>
        <v>0</v>
      </c>
      <c r="J20" s="41" t="str">
        <f t="shared" ca="1" si="2"/>
        <v/>
      </c>
      <c r="K20" s="48" t="str">
        <f ca="1">IF(J20="","",RANK(J20,$J$6:$J$37,0)+COUNTIF($J$6:J20,J20)-1)</f>
        <v/>
      </c>
      <c r="L20" s="19" t="str">
        <f t="shared" ca="1" si="3"/>
        <v/>
      </c>
      <c r="M20" s="19" t="str">
        <f t="shared" ca="1" si="4"/>
        <v/>
      </c>
      <c r="O20" s="474">
        <f ca="1">$C$67*SUMIF(Effektmåling!$D$71:$E$75,'DB energi'!B20,Effektmåling!$I$71:$I$75)</f>
        <v>0</v>
      </c>
      <c r="P20" s="41" t="str">
        <f t="shared" ca="1" si="15"/>
        <v/>
      </c>
      <c r="Q20" s="48" t="str">
        <f ca="1">IF(P20="","",RANK(P20,$P$6:$P$37,0)+COUNTIF($P$6:P20,P20)-1)</f>
        <v/>
      </c>
      <c r="R20" s="19" t="str">
        <f t="shared" ca="1" si="5"/>
        <v/>
      </c>
      <c r="S20" s="19" t="str">
        <f t="shared" ca="1" si="6"/>
        <v/>
      </c>
      <c r="U20" s="19">
        <f t="shared" ca="1" si="7"/>
        <v>1000000</v>
      </c>
      <c r="V20" s="19" t="str">
        <f t="shared" si="8"/>
        <v>LPG (flaskegas) (liter)</v>
      </c>
      <c r="W20" s="19" t="str">
        <f t="shared" si="1"/>
        <v>liter</v>
      </c>
      <c r="X20" s="19">
        <f t="shared" ca="1" si="9"/>
        <v>0</v>
      </c>
      <c r="Y20" s="19">
        <f t="shared" si="10"/>
        <v>15</v>
      </c>
      <c r="Z20" s="19">
        <f t="shared" ca="1" si="11"/>
        <v>0</v>
      </c>
      <c r="AA20" s="19">
        <f t="shared" ca="1" si="12"/>
        <v>0</v>
      </c>
      <c r="AB20" s="19">
        <f t="shared" ca="1" si="13"/>
        <v>0</v>
      </c>
      <c r="AC20" s="19">
        <f t="shared" ca="1" si="14"/>
        <v>1000000</v>
      </c>
      <c r="AE20" s="19" t="s">
        <v>366</v>
      </c>
      <c r="AF20" s="462" t="s">
        <v>359</v>
      </c>
      <c r="AG20" s="19">
        <v>65</v>
      </c>
      <c r="AH20" s="19">
        <v>1.625</v>
      </c>
      <c r="AI20" s="49">
        <f t="shared" si="16"/>
        <v>2.5000000000000001E-2</v>
      </c>
    </row>
    <row r="21" spans="1:36" x14ac:dyDescent="0.15">
      <c r="A21" s="19">
        <v>3.0000000000000028E-5</v>
      </c>
      <c r="B21" s="19" t="s">
        <v>367</v>
      </c>
      <c r="C21" s="462" t="s">
        <v>349</v>
      </c>
      <c r="D21" s="22"/>
      <c r="E21" s="23">
        <v>1.0521929934891532E-4</v>
      </c>
      <c r="F21" s="77">
        <v>7.5796658631549073E-4</v>
      </c>
      <c r="G21" s="22">
        <v>2.3400000000000002E-4</v>
      </c>
      <c r="I21" s="474">
        <f ca="1">$C$67*SUMIF(Effektmåling!$D$144:$E$148,'DB energi'!B21,Effektmåling!$I$144:$I$148)</f>
        <v>0</v>
      </c>
      <c r="J21" s="41" t="str">
        <f t="shared" ca="1" si="2"/>
        <v/>
      </c>
      <c r="K21" s="48" t="str">
        <f ca="1">IF(J21="","",RANK(J21,$J$6:$J$37,0)+COUNTIF($J$6:J21,J21)-1)</f>
        <v/>
      </c>
      <c r="L21" s="19" t="str">
        <f t="shared" ca="1" si="3"/>
        <v/>
      </c>
      <c r="M21" s="19" t="str">
        <f t="shared" ca="1" si="4"/>
        <v/>
      </c>
      <c r="O21" s="474">
        <f ca="1">$C$67*SUMIF(Effektmåling!$D$71:$E$75,'DB energi'!B21,Effektmåling!$I$71:$I$75)</f>
        <v>0</v>
      </c>
      <c r="P21" s="41" t="str">
        <f t="shared" ca="1" si="15"/>
        <v/>
      </c>
      <c r="Q21" s="48" t="str">
        <f ca="1">IF(P21="","",RANK(P21,$P$6:$P$37,0)+COUNTIF($P$6:P21,P21)-1)</f>
        <v/>
      </c>
      <c r="R21" s="19" t="str">
        <f t="shared" ca="1" si="5"/>
        <v/>
      </c>
      <c r="S21" s="19" t="str">
        <f t="shared" ca="1" si="6"/>
        <v/>
      </c>
      <c r="U21" s="19">
        <f t="shared" ca="1" si="7"/>
        <v>1000000</v>
      </c>
      <c r="V21" s="19" t="str">
        <f t="shared" si="8"/>
        <v>LVN (letbenzin) (kWh)</v>
      </c>
      <c r="W21" s="19" t="str">
        <f t="shared" si="1"/>
        <v>kWh</v>
      </c>
      <c r="X21" s="19">
        <f t="shared" ca="1" si="9"/>
        <v>0</v>
      </c>
      <c r="Y21" s="19">
        <f t="shared" si="10"/>
        <v>16</v>
      </c>
      <c r="Z21" s="19">
        <f t="shared" ca="1" si="11"/>
        <v>0</v>
      </c>
      <c r="AA21" s="19">
        <f t="shared" ca="1" si="12"/>
        <v>0</v>
      </c>
      <c r="AB21" s="19">
        <f t="shared" ca="1" si="13"/>
        <v>0</v>
      </c>
      <c r="AC21" s="19">
        <f t="shared" ca="1" si="14"/>
        <v>1000000</v>
      </c>
      <c r="AE21" s="19" t="s">
        <v>367</v>
      </c>
      <c r="AF21" s="462" t="s">
        <v>349</v>
      </c>
      <c r="AG21" s="19">
        <v>65</v>
      </c>
      <c r="AH21" s="19">
        <v>0.23400000000000001</v>
      </c>
      <c r="AI21" s="454">
        <f t="shared" si="16"/>
        <v>3.6000000000000003E-3</v>
      </c>
    </row>
    <row r="22" spans="1:36" x14ac:dyDescent="0.15">
      <c r="A22" s="19">
        <v>6.0000000000000056E-5</v>
      </c>
      <c r="B22" s="19" t="s">
        <v>368</v>
      </c>
      <c r="C22" s="462" t="s">
        <v>349</v>
      </c>
      <c r="D22" s="22"/>
      <c r="E22" s="23">
        <v>1.1863074772509074E-4</v>
      </c>
      <c r="F22" s="77">
        <v>1.2934255559494895E-3</v>
      </c>
      <c r="G22" s="22">
        <v>2.5999999999999998E-4</v>
      </c>
      <c r="I22" s="474">
        <f ca="1">$C$67*SUMIF(Effektmåling!$D$144:$E$148,'DB energi'!B22,Effektmåling!$I$144:$I$148)</f>
        <v>0</v>
      </c>
      <c r="J22" s="41" t="str">
        <f t="shared" ca="1" si="2"/>
        <v/>
      </c>
      <c r="K22" s="48" t="str">
        <f ca="1">IF(J22="","",RANK(J22,$J$6:$J$37,0)+COUNTIF($J$6:J22,J22)-1)</f>
        <v/>
      </c>
      <c r="L22" s="19" t="str">
        <f t="shared" ca="1" si="3"/>
        <v/>
      </c>
      <c r="M22" s="19" t="str">
        <f t="shared" ca="1" si="4"/>
        <v/>
      </c>
      <c r="O22" s="474">
        <f ca="1">$C$67*SUMIF(Effektmåling!$D$71:$E$75,'DB energi'!B22,Effektmåling!$I$71:$I$75)</f>
        <v>0</v>
      </c>
      <c r="P22" s="41" t="str">
        <f t="shared" ca="1" si="15"/>
        <v/>
      </c>
      <c r="Q22" s="48" t="str">
        <f ca="1">IF(P22="","",RANK(P22,$P$6:$P$37,0)+COUNTIF($P$6:P22,P22)-1)</f>
        <v/>
      </c>
      <c r="R22" s="19" t="str">
        <f t="shared" ca="1" si="5"/>
        <v/>
      </c>
      <c r="S22" s="19" t="str">
        <f t="shared" ca="1" si="6"/>
        <v/>
      </c>
      <c r="U22" s="19">
        <f t="shared" ca="1" si="7"/>
        <v>1000000</v>
      </c>
      <c r="V22" s="19" t="str">
        <f t="shared" si="8"/>
        <v>Motorbenzin (kWh)</v>
      </c>
      <c r="W22" s="19" t="str">
        <f t="shared" si="1"/>
        <v>kWh</v>
      </c>
      <c r="X22" s="19">
        <f t="shared" ca="1" si="9"/>
        <v>0</v>
      </c>
      <c r="Y22" s="19">
        <f t="shared" si="10"/>
        <v>17</v>
      </c>
      <c r="Z22" s="19">
        <f t="shared" ca="1" si="11"/>
        <v>0</v>
      </c>
      <c r="AA22" s="19">
        <f t="shared" ca="1" si="12"/>
        <v>0</v>
      </c>
      <c r="AB22" s="19">
        <f t="shared" ca="1" si="13"/>
        <v>0</v>
      </c>
      <c r="AC22" s="19">
        <f t="shared" ca="1" si="14"/>
        <v>1000000</v>
      </c>
      <c r="AE22" s="19" t="s">
        <v>368</v>
      </c>
      <c r="AF22" s="462" t="s">
        <v>349</v>
      </c>
      <c r="AG22" s="19">
        <v>73</v>
      </c>
      <c r="AH22" s="19">
        <v>0.26279999999999998</v>
      </c>
      <c r="AI22" s="454">
        <f t="shared" si="16"/>
        <v>3.5999999999999999E-3</v>
      </c>
    </row>
    <row r="23" spans="1:36" x14ac:dyDescent="0.15">
      <c r="A23" s="19">
        <v>0.66399999999999992</v>
      </c>
      <c r="B23" s="19" t="s">
        <v>369</v>
      </c>
      <c r="C23" s="462" t="s">
        <v>236</v>
      </c>
      <c r="D23" s="22"/>
      <c r="E23" s="23">
        <v>1.4028085918491979</v>
      </c>
      <c r="F23" s="88">
        <v>15.294757199102712</v>
      </c>
      <c r="G23" s="22">
        <v>3.12</v>
      </c>
      <c r="I23" s="474">
        <f ca="1">$C$67*SUMIF(Effektmåling!$D$144:$E$148,'DB energi'!B23,Effektmåling!$I$144:$I$148)</f>
        <v>0</v>
      </c>
      <c r="J23" s="41" t="str">
        <f t="shared" ca="1" si="2"/>
        <v/>
      </c>
      <c r="K23" s="48" t="str">
        <f ca="1">IF(J23="","",RANK(J23,$J$6:$J$37,0)+COUNTIF($J$6:J23,J23)-1)</f>
        <v/>
      </c>
      <c r="L23" s="19" t="str">
        <f t="shared" ca="1" si="3"/>
        <v/>
      </c>
      <c r="M23" s="19" t="str">
        <f t="shared" ca="1" si="4"/>
        <v/>
      </c>
      <c r="O23" s="474">
        <f ca="1">$C$67*SUMIF(Effektmåling!$D$71:$E$75,'DB energi'!B23,Effektmåling!$I$71:$I$75)</f>
        <v>0</v>
      </c>
      <c r="P23" s="41" t="str">
        <f t="shared" ca="1" si="15"/>
        <v/>
      </c>
      <c r="Q23" s="48" t="str">
        <f ca="1">IF(P23="","",RANK(P23,$P$6:$P$37,0)+COUNTIF($P$6:P23,P23)-1)</f>
        <v/>
      </c>
      <c r="R23" s="19" t="str">
        <f t="shared" ca="1" si="5"/>
        <v/>
      </c>
      <c r="S23" s="19" t="str">
        <f t="shared" ca="1" si="6"/>
        <v/>
      </c>
      <c r="U23" s="19">
        <f t="shared" ca="1" si="7"/>
        <v>1000000</v>
      </c>
      <c r="V23" s="19" t="str">
        <f t="shared" si="8"/>
        <v>Motorbenzin (tons)</v>
      </c>
      <c r="W23" s="19" t="str">
        <f t="shared" si="1"/>
        <v>t</v>
      </c>
      <c r="X23" s="19">
        <f t="shared" ca="1" si="9"/>
        <v>0</v>
      </c>
      <c r="Y23" s="19">
        <f t="shared" si="10"/>
        <v>18</v>
      </c>
      <c r="Z23" s="19">
        <f t="shared" ca="1" si="11"/>
        <v>0</v>
      </c>
      <c r="AA23" s="19">
        <f t="shared" ca="1" si="12"/>
        <v>0</v>
      </c>
      <c r="AB23" s="19">
        <f t="shared" ca="1" si="13"/>
        <v>0</v>
      </c>
      <c r="AC23" s="19">
        <f t="shared" ca="1" si="14"/>
        <v>1000000</v>
      </c>
      <c r="AE23" s="19" t="s">
        <v>369</v>
      </c>
      <c r="AF23" s="462" t="s">
        <v>236</v>
      </c>
      <c r="AG23" s="19">
        <v>73</v>
      </c>
      <c r="AH23" s="19">
        <v>3117.1</v>
      </c>
      <c r="AI23" s="49">
        <f t="shared" si="16"/>
        <v>42.699999999999996</v>
      </c>
    </row>
    <row r="24" spans="1:36" x14ac:dyDescent="0.15">
      <c r="A24" s="19">
        <v>1.2999999999999999E-5</v>
      </c>
      <c r="B24" s="19" t="s">
        <v>370</v>
      </c>
      <c r="C24" s="462" t="s">
        <v>359</v>
      </c>
      <c r="D24" s="54"/>
      <c r="E24" s="84">
        <v>8.7230671686605783E-4</v>
      </c>
      <c r="F24" s="77">
        <v>9.5107197910910893E-3</v>
      </c>
      <c r="G24" s="22">
        <v>2.3400000000000001E-3</v>
      </c>
      <c r="I24" s="474">
        <f ca="1">$C$67*SUMIF(Effektmåling!$D$144:$E$148,'DB energi'!B24,Effektmåling!$I$144:$I$148)</f>
        <v>0</v>
      </c>
      <c r="J24" s="41" t="str">
        <f t="shared" ca="1" si="2"/>
        <v/>
      </c>
      <c r="K24" s="48" t="str">
        <f ca="1">IF(J24="","",RANK(J24,$J$6:$J$37,0)+COUNTIF($J$6:J24,J24)-1)</f>
        <v/>
      </c>
      <c r="L24" s="19" t="str">
        <f t="shared" ca="1" si="3"/>
        <v/>
      </c>
      <c r="M24" s="19" t="str">
        <f t="shared" ca="1" si="4"/>
        <v/>
      </c>
      <c r="O24" s="474">
        <f ca="1">$C$67*SUMIF(Effektmåling!$D$71:$E$75,'DB energi'!B24,Effektmåling!$I$71:$I$75)</f>
        <v>0</v>
      </c>
      <c r="P24" s="41" t="str">
        <f t="shared" ca="1" si="15"/>
        <v/>
      </c>
      <c r="Q24" s="48" t="str">
        <f ca="1">IF(P24="","",RANK(P24,$P$6:$P$37,0)+COUNTIF($P$6:P24,P24)-1)</f>
        <v/>
      </c>
      <c r="R24" s="19" t="str">
        <f t="shared" ca="1" si="5"/>
        <v/>
      </c>
      <c r="S24" s="19" t="str">
        <f t="shared" ca="1" si="6"/>
        <v/>
      </c>
      <c r="U24" s="19">
        <f t="shared" ca="1" si="7"/>
        <v>1000000</v>
      </c>
      <c r="V24" s="19" t="str">
        <f t="shared" si="8"/>
        <v>Motorbenzin (liter)</v>
      </c>
      <c r="W24" s="19" t="str">
        <f t="shared" si="1"/>
        <v>liter</v>
      </c>
      <c r="X24" s="19">
        <f t="shared" ca="1" si="9"/>
        <v>0</v>
      </c>
      <c r="Y24" s="19">
        <f t="shared" si="10"/>
        <v>19</v>
      </c>
      <c r="Z24" s="19">
        <f t="shared" ca="1" si="11"/>
        <v>0</v>
      </c>
      <c r="AA24" s="19">
        <f t="shared" ca="1" si="12"/>
        <v>0</v>
      </c>
      <c r="AB24" s="19">
        <f t="shared" ca="1" si="13"/>
        <v>0</v>
      </c>
      <c r="AC24" s="19">
        <f t="shared" ca="1" si="14"/>
        <v>1000000</v>
      </c>
      <c r="AE24" s="19" t="s">
        <v>370</v>
      </c>
      <c r="AF24" s="462" t="s">
        <v>359</v>
      </c>
      <c r="AG24" s="19">
        <v>73</v>
      </c>
      <c r="AH24" s="19">
        <v>2.34</v>
      </c>
      <c r="AI24" s="49">
        <f t="shared" si="16"/>
        <v>3.2054794520547943E-2</v>
      </c>
    </row>
    <row r="25" spans="1:36" x14ac:dyDescent="0.15">
      <c r="A25" s="19">
        <v>3.3799999999999998E-4</v>
      </c>
      <c r="B25" s="19" t="s">
        <v>371</v>
      </c>
      <c r="C25" s="462" t="s">
        <v>372</v>
      </c>
      <c r="D25" s="22"/>
      <c r="E25" s="23">
        <v>7.8090872611613209E-5</v>
      </c>
      <c r="F25" s="77">
        <v>2.4148162317386928</v>
      </c>
      <c r="G25" s="22">
        <v>2.0699999999999998E-3</v>
      </c>
      <c r="I25" s="474">
        <f ca="1">$C$67*SUMIF(Effektmåling!$D$144:$E$148,'DB energi'!B25,Effektmåling!$I$144:$I$148)</f>
        <v>0</v>
      </c>
      <c r="J25" s="41" t="str">
        <f t="shared" ca="1" si="2"/>
        <v/>
      </c>
      <c r="K25" s="48" t="str">
        <f ca="1">IF(J25="","",RANK(J25,$J$6:$J$37,0)+COUNTIF($J$6:J25,J25)-1)</f>
        <v/>
      </c>
      <c r="L25" s="19" t="str">
        <f t="shared" ca="1" si="3"/>
        <v/>
      </c>
      <c r="M25" s="19" t="str">
        <f t="shared" ca="1" si="4"/>
        <v/>
      </c>
      <c r="O25" s="474">
        <f ca="1">$C$67*SUMIF(Effektmåling!$D$71:$E$75,'DB energi'!B25,Effektmåling!$I$71:$I$75)</f>
        <v>0</v>
      </c>
      <c r="P25" s="41" t="str">
        <f t="shared" ca="1" si="15"/>
        <v/>
      </c>
      <c r="Q25" s="48" t="str">
        <f ca="1">IF(P25="","",RANK(P25,$P$6:$P$37,0)+COUNTIF($P$6:P25,P25)-1)</f>
        <v/>
      </c>
      <c r="R25" s="19" t="str">
        <f t="shared" ca="1" si="5"/>
        <v/>
      </c>
      <c r="S25" s="19" t="str">
        <f t="shared" ca="1" si="6"/>
        <v/>
      </c>
      <c r="U25" s="19">
        <f t="shared" ca="1" si="7"/>
        <v>1000000</v>
      </c>
      <c r="V25" s="19" t="str">
        <f t="shared" si="8"/>
        <v>Naturgas (m3)</v>
      </c>
      <c r="W25" s="19" t="str">
        <f t="shared" si="1"/>
        <v>m3</v>
      </c>
      <c r="X25" s="19">
        <f t="shared" ca="1" si="9"/>
        <v>0</v>
      </c>
      <c r="Y25" s="19">
        <f t="shared" si="10"/>
        <v>20</v>
      </c>
      <c r="Z25" s="19">
        <f t="shared" ca="1" si="11"/>
        <v>0</v>
      </c>
      <c r="AA25" s="19">
        <f t="shared" ca="1" si="12"/>
        <v>0</v>
      </c>
      <c r="AB25" s="19">
        <f t="shared" ca="1" si="13"/>
        <v>0</v>
      </c>
      <c r="AC25" s="19">
        <f t="shared" ca="1" si="14"/>
        <v>1000000</v>
      </c>
      <c r="AE25" s="19" t="s">
        <v>371</v>
      </c>
      <c r="AF25" s="462" t="s">
        <v>372</v>
      </c>
      <c r="AG25" s="19">
        <v>56.78</v>
      </c>
      <c r="AH25" s="19">
        <v>2.0699999999999998</v>
      </c>
      <c r="AI25" s="49">
        <f>AH25/AG25</f>
        <v>3.6456498767171538E-2</v>
      </c>
      <c r="AJ25" s="249"/>
    </row>
    <row r="26" spans="1:36" x14ac:dyDescent="0.15">
      <c r="A26" s="19">
        <v>2.0000000000000019E-5</v>
      </c>
      <c r="B26" s="19" t="s">
        <v>373</v>
      </c>
      <c r="C26" s="462" t="s">
        <v>349</v>
      </c>
      <c r="D26" s="22"/>
      <c r="E26" s="23">
        <v>8.9809021799213646E-5</v>
      </c>
      <c r="F26" s="77">
        <v>5.0690793253063248E-4</v>
      </c>
      <c r="G26" s="22">
        <v>2.5900000000000001E-4</v>
      </c>
      <c r="I26" s="474">
        <f ca="1">$C$67*SUMIF(Effektmåling!$D$144:$E$148,'DB energi'!B26,Effektmåling!$I$144:$I$148)</f>
        <v>0</v>
      </c>
      <c r="J26" s="41" t="str">
        <f t="shared" ca="1" si="2"/>
        <v/>
      </c>
      <c r="K26" s="48" t="str">
        <f ca="1">IF(J26="","",RANK(J26,$J$6:$J$37,0)+COUNTIF($J$6:J26,J26)-1)</f>
        <v/>
      </c>
      <c r="L26" s="19" t="str">
        <f t="shared" ca="1" si="3"/>
        <v/>
      </c>
      <c r="M26" s="19" t="str">
        <f t="shared" ca="1" si="4"/>
        <v/>
      </c>
      <c r="O26" s="474">
        <f ca="1">$C$67*SUMIF(Effektmåling!$D$71:$E$75,'DB energi'!B26,Effektmåling!$I$71:$I$75)</f>
        <v>0</v>
      </c>
      <c r="P26" s="41" t="str">
        <f t="shared" ca="1" si="15"/>
        <v/>
      </c>
      <c r="Q26" s="48" t="str">
        <f ca="1">IF(P26="","",RANK(P26,$P$6:$P$37,0)+COUNTIF($P$6:P26,P26)-1)</f>
        <v/>
      </c>
      <c r="R26" s="19" t="str">
        <f t="shared" ca="1" si="5"/>
        <v/>
      </c>
      <c r="S26" s="19" t="str">
        <f t="shared" ca="1" si="6"/>
        <v/>
      </c>
      <c r="U26" s="19">
        <f t="shared" ca="1" si="7"/>
        <v>1000000</v>
      </c>
      <c r="V26" s="19" t="str">
        <f t="shared" si="8"/>
        <v>Petroleum (kWh)</v>
      </c>
      <c r="W26" s="19" t="str">
        <f t="shared" si="1"/>
        <v>kWh</v>
      </c>
      <c r="X26" s="19">
        <f t="shared" ca="1" si="9"/>
        <v>0</v>
      </c>
      <c r="Y26" s="19">
        <f t="shared" si="10"/>
        <v>21</v>
      </c>
      <c r="Z26" s="19">
        <f t="shared" ca="1" si="11"/>
        <v>0</v>
      </c>
      <c r="AA26" s="19">
        <f t="shared" ca="1" si="12"/>
        <v>0</v>
      </c>
      <c r="AB26" s="19">
        <f t="shared" ca="1" si="13"/>
        <v>0</v>
      </c>
      <c r="AC26" s="19">
        <f t="shared" ca="1" si="14"/>
        <v>1000000</v>
      </c>
      <c r="AE26" s="19" t="s">
        <v>373</v>
      </c>
      <c r="AF26" s="462" t="s">
        <v>349</v>
      </c>
      <c r="AG26" s="19">
        <v>72</v>
      </c>
      <c r="AH26" s="19">
        <v>0.25919999999999999</v>
      </c>
      <c r="AI26" s="49">
        <f t="shared" si="16"/>
        <v>3.5999999999999999E-3</v>
      </c>
    </row>
    <row r="27" spans="1:36" x14ac:dyDescent="0.15">
      <c r="A27" s="19">
        <v>0.23000000000000007</v>
      </c>
      <c r="B27" s="19" t="s">
        <v>374</v>
      </c>
      <c r="C27" s="462" t="s">
        <v>236</v>
      </c>
      <c r="D27" s="22"/>
      <c r="E27" s="23">
        <v>1.0815710152163363</v>
      </c>
      <c r="F27" s="77">
        <v>6.1046976820893368</v>
      </c>
      <c r="G27" s="22">
        <v>3.13</v>
      </c>
      <c r="I27" s="474">
        <f ca="1">$C$67*SUMIF(Effektmåling!$D$144:$E$148,'DB energi'!B27,Effektmåling!$I$144:$I$148)</f>
        <v>0</v>
      </c>
      <c r="J27" s="41" t="str">
        <f t="shared" ca="1" si="2"/>
        <v/>
      </c>
      <c r="K27" s="48" t="str">
        <f ca="1">IF(J27="","",RANK(J27,$J$6:$J$37,0)+COUNTIF($J$6:J27,J27)-1)</f>
        <v/>
      </c>
      <c r="L27" s="19" t="str">
        <f t="shared" ca="1" si="3"/>
        <v/>
      </c>
      <c r="M27" s="19" t="str">
        <f t="shared" ca="1" si="4"/>
        <v/>
      </c>
      <c r="O27" s="474">
        <f ca="1">$C$67*SUMIF(Effektmåling!$D$71:$E$75,'DB energi'!B27,Effektmåling!$I$71:$I$75)</f>
        <v>0</v>
      </c>
      <c r="P27" s="41" t="str">
        <f t="shared" ca="1" si="15"/>
        <v/>
      </c>
      <c r="Q27" s="48" t="str">
        <f ca="1">IF(P27="","",RANK(P27,$P$6:$P$37,0)+COUNTIF($P$6:P27,P27)-1)</f>
        <v/>
      </c>
      <c r="R27" s="19" t="str">
        <f t="shared" ca="1" si="5"/>
        <v/>
      </c>
      <c r="S27" s="19" t="str">
        <f t="shared" ca="1" si="6"/>
        <v/>
      </c>
      <c r="U27" s="19">
        <f t="shared" ca="1" si="7"/>
        <v>1000000</v>
      </c>
      <c r="V27" s="19" t="str">
        <f t="shared" si="8"/>
        <v>Petroleum (tons)</v>
      </c>
      <c r="W27" s="19" t="str">
        <f t="shared" si="1"/>
        <v>t</v>
      </c>
      <c r="X27" s="19">
        <f t="shared" ca="1" si="9"/>
        <v>0</v>
      </c>
      <c r="Y27" s="19">
        <f t="shared" si="10"/>
        <v>22</v>
      </c>
      <c r="Z27" s="19">
        <f t="shared" ca="1" si="11"/>
        <v>0</v>
      </c>
      <c r="AA27" s="19">
        <f t="shared" ca="1" si="12"/>
        <v>0</v>
      </c>
      <c r="AB27" s="19">
        <f t="shared" ca="1" si="13"/>
        <v>0</v>
      </c>
      <c r="AC27" s="19">
        <f t="shared" ca="1" si="14"/>
        <v>1000000</v>
      </c>
      <c r="AE27" s="19" t="s">
        <v>374</v>
      </c>
      <c r="AF27" s="462" t="s">
        <v>236</v>
      </c>
      <c r="AG27" s="19">
        <v>72</v>
      </c>
      <c r="AH27" s="19">
        <v>3132</v>
      </c>
      <c r="AI27" s="49">
        <f t="shared" si="16"/>
        <v>43.5</v>
      </c>
    </row>
    <row r="28" spans="1:36" x14ac:dyDescent="0.15">
      <c r="A28" s="19">
        <v>0</v>
      </c>
      <c r="B28" s="19" t="s">
        <v>375</v>
      </c>
      <c r="C28" s="462" t="s">
        <v>359</v>
      </c>
      <c r="D28" s="22"/>
      <c r="E28" s="23">
        <v>8.079593000574418E-4</v>
      </c>
      <c r="F28" s="77">
        <v>4.5603545184655465E-3</v>
      </c>
      <c r="G28" s="22">
        <v>2.5100000000000001E-3</v>
      </c>
      <c r="I28" s="474">
        <f ca="1">$C$67*SUMIF(Effektmåling!$D$144:$E$148,'DB energi'!B28,Effektmåling!$I$144:$I$148)</f>
        <v>0</v>
      </c>
      <c r="J28" s="41" t="str">
        <f t="shared" ca="1" si="2"/>
        <v/>
      </c>
      <c r="K28" s="48" t="str">
        <f ca="1">IF(J28="","",RANK(J28,$J$6:$J$37,0)+COUNTIF($J$6:J28,J28)-1)</f>
        <v/>
      </c>
      <c r="L28" s="19" t="str">
        <f t="shared" ca="1" si="3"/>
        <v/>
      </c>
      <c r="M28" s="19" t="str">
        <f t="shared" ca="1" si="4"/>
        <v/>
      </c>
      <c r="O28" s="474">
        <f ca="1">$C$67*SUMIF(Effektmåling!$D$71:$E$75,'DB energi'!B28,Effektmåling!$I$71:$I$75)</f>
        <v>0</v>
      </c>
      <c r="P28" s="41" t="str">
        <f t="shared" ca="1" si="15"/>
        <v/>
      </c>
      <c r="Q28" s="48" t="str">
        <f ca="1">IF(P28="","",RANK(P28,$P$6:$P$37,0)+COUNTIF($P$6:P28,P28)-1)</f>
        <v/>
      </c>
      <c r="R28" s="19" t="str">
        <f t="shared" ca="1" si="5"/>
        <v/>
      </c>
      <c r="S28" s="19" t="str">
        <f t="shared" ca="1" si="6"/>
        <v/>
      </c>
      <c r="U28" s="19">
        <f t="shared" ca="1" si="7"/>
        <v>1000000</v>
      </c>
      <c r="V28" s="19" t="str">
        <f t="shared" si="8"/>
        <v>Petroleum (liter)</v>
      </c>
      <c r="W28" s="19" t="str">
        <f t="shared" si="1"/>
        <v>liter</v>
      </c>
      <c r="X28" s="19">
        <f t="shared" ca="1" si="9"/>
        <v>0</v>
      </c>
      <c r="Y28" s="19">
        <f t="shared" si="10"/>
        <v>23</v>
      </c>
      <c r="Z28" s="19">
        <f t="shared" ca="1" si="11"/>
        <v>0</v>
      </c>
      <c r="AA28" s="19">
        <f t="shared" ca="1" si="12"/>
        <v>0</v>
      </c>
      <c r="AB28" s="19">
        <f t="shared" ca="1" si="13"/>
        <v>0</v>
      </c>
      <c r="AC28" s="19">
        <f t="shared" ca="1" si="14"/>
        <v>1000000</v>
      </c>
      <c r="AE28" s="19" t="s">
        <v>375</v>
      </c>
      <c r="AF28" s="462" t="s">
        <v>359</v>
      </c>
      <c r="AG28" s="19">
        <v>72</v>
      </c>
      <c r="AH28" s="19">
        <v>2.5055999999999998</v>
      </c>
      <c r="AI28" s="49">
        <f t="shared" si="16"/>
        <v>3.4799999999999998E-2</v>
      </c>
    </row>
    <row r="29" spans="1:36" x14ac:dyDescent="0.15">
      <c r="A29" s="19">
        <v>9.3999999999999967E-5</v>
      </c>
      <c r="B29" s="19" t="s">
        <v>376</v>
      </c>
      <c r="C29" s="462" t="s">
        <v>349</v>
      </c>
      <c r="D29" s="22"/>
      <c r="E29" s="23">
        <v>2.7156750706721462E-5</v>
      </c>
      <c r="F29" s="77">
        <v>2.9441900123961635E-4</v>
      </c>
      <c r="G29" s="22">
        <v>3.3100000000000002E-4</v>
      </c>
      <c r="I29" s="474">
        <f ca="1">$C$67*SUMIF(Effektmåling!$D$144:$E$148,'DB energi'!B29,Effektmåling!$I$144:$I$148)</f>
        <v>0</v>
      </c>
      <c r="J29" s="41" t="str">
        <f t="shared" ca="1" si="2"/>
        <v/>
      </c>
      <c r="K29" s="48" t="str">
        <f ca="1">IF(J29="","",RANK(J29,$J$6:$J$37,0)+COUNTIF($J$6:J29,J29)-1)</f>
        <v/>
      </c>
      <c r="L29" s="19" t="str">
        <f t="shared" ca="1" si="3"/>
        <v/>
      </c>
      <c r="M29" s="19" t="str">
        <f t="shared" ca="1" si="4"/>
        <v/>
      </c>
      <c r="O29" s="474">
        <f ca="1">$C$67*SUMIF(Effektmåling!$D$71:$E$75,'DB energi'!B29,Effektmåling!$I$71:$I$75)</f>
        <v>0</v>
      </c>
      <c r="P29" s="41" t="str">
        <f t="shared" ca="1" si="15"/>
        <v/>
      </c>
      <c r="Q29" s="48" t="str">
        <f ca="1">IF(P29="","",RANK(P29,$P$6:$P$37,0)+COUNTIF($P$6:P29,P29)-1)</f>
        <v/>
      </c>
      <c r="R29" s="19" t="str">
        <f t="shared" ca="1" si="5"/>
        <v/>
      </c>
      <c r="S29" s="19" t="str">
        <f t="shared" ca="1" si="6"/>
        <v/>
      </c>
      <c r="U29" s="19">
        <f t="shared" ca="1" si="7"/>
        <v>1000000</v>
      </c>
      <c r="V29" s="19" t="str">
        <f t="shared" si="8"/>
        <v>Petroleumskoks (kWh)</v>
      </c>
      <c r="W29" s="19" t="str">
        <f t="shared" si="1"/>
        <v>kWh</v>
      </c>
      <c r="X29" s="19">
        <f t="shared" ca="1" si="9"/>
        <v>0</v>
      </c>
      <c r="Y29" s="19">
        <f t="shared" si="10"/>
        <v>24</v>
      </c>
      <c r="Z29" s="19">
        <f t="shared" ca="1" si="11"/>
        <v>0</v>
      </c>
      <c r="AA29" s="19">
        <f t="shared" ca="1" si="12"/>
        <v>0</v>
      </c>
      <c r="AB29" s="19">
        <f t="shared" ca="1" si="13"/>
        <v>0</v>
      </c>
      <c r="AC29" s="19">
        <f t="shared" ca="1" si="14"/>
        <v>1000000</v>
      </c>
      <c r="AE29" s="19" t="s">
        <v>376</v>
      </c>
      <c r="AF29" s="462" t="s">
        <v>349</v>
      </c>
      <c r="AG29" s="19">
        <v>92</v>
      </c>
      <c r="AH29" s="19">
        <v>0.33119999999999999</v>
      </c>
      <c r="AI29" s="49">
        <f t="shared" si="16"/>
        <v>3.5999999999999999E-3</v>
      </c>
    </row>
    <row r="30" spans="1:36" x14ac:dyDescent="0.15">
      <c r="A30" s="19">
        <v>0.81799999999999995</v>
      </c>
      <c r="B30" s="19" t="s">
        <v>377</v>
      </c>
      <c r="C30" s="462" t="s">
        <v>236</v>
      </c>
      <c r="D30" s="22"/>
      <c r="E30" s="23">
        <v>0.23693466263652518</v>
      </c>
      <c r="F30" s="77">
        <v>2.5687191919917591</v>
      </c>
      <c r="G30" s="22">
        <v>2.89</v>
      </c>
      <c r="I30" s="474">
        <f ca="1">$C$67*SUMIF(Effektmåling!$D$144:$E$148,'DB energi'!B30,Effektmåling!$I$144:$I$148)</f>
        <v>0</v>
      </c>
      <c r="J30" s="41" t="str">
        <f t="shared" ca="1" si="2"/>
        <v/>
      </c>
      <c r="K30" s="48" t="str">
        <f ca="1">IF(J30="","",RANK(J30,$J$6:$J$37,0)+COUNTIF($J$6:J30,J30)-1)</f>
        <v/>
      </c>
      <c r="L30" s="19" t="str">
        <f t="shared" ca="1" si="3"/>
        <v/>
      </c>
      <c r="M30" s="19" t="str">
        <f t="shared" ca="1" si="4"/>
        <v/>
      </c>
      <c r="O30" s="474">
        <f ca="1">$C$67*SUMIF(Effektmåling!$D$71:$E$75,'DB energi'!B30,Effektmåling!$I$71:$I$75)</f>
        <v>0</v>
      </c>
      <c r="P30" s="41" t="str">
        <f t="shared" ca="1" si="15"/>
        <v/>
      </c>
      <c r="Q30" s="48" t="str">
        <f ca="1">IF(P30="","",RANK(P30,$P$6:$P$37,0)+COUNTIF($P$6:P30,P30)-1)</f>
        <v/>
      </c>
      <c r="R30" s="19" t="str">
        <f t="shared" ca="1" si="5"/>
        <v/>
      </c>
      <c r="S30" s="19" t="str">
        <f t="shared" ca="1" si="6"/>
        <v/>
      </c>
      <c r="U30" s="19">
        <f t="shared" ca="1" si="7"/>
        <v>1000000</v>
      </c>
      <c r="V30" s="19" t="str">
        <f t="shared" si="8"/>
        <v>Petroleumskoks (tons)</v>
      </c>
      <c r="W30" s="19" t="str">
        <f t="shared" si="1"/>
        <v>t</v>
      </c>
      <c r="X30" s="19">
        <f t="shared" ca="1" si="9"/>
        <v>0</v>
      </c>
      <c r="Y30" s="19">
        <f t="shared" si="10"/>
        <v>25</v>
      </c>
      <c r="Z30" s="19">
        <f t="shared" ca="1" si="11"/>
        <v>0</v>
      </c>
      <c r="AA30" s="19">
        <f t="shared" ca="1" si="12"/>
        <v>0</v>
      </c>
      <c r="AB30" s="19">
        <f t="shared" ca="1" si="13"/>
        <v>0</v>
      </c>
      <c r="AC30" s="19">
        <f t="shared" ca="1" si="14"/>
        <v>1000000</v>
      </c>
      <c r="AE30" s="19" t="s">
        <v>377</v>
      </c>
      <c r="AF30" s="462" t="s">
        <v>236</v>
      </c>
      <c r="AG30" s="19">
        <v>92</v>
      </c>
      <c r="AH30" s="19">
        <v>2888.8</v>
      </c>
      <c r="AI30" s="49">
        <f t="shared" si="16"/>
        <v>31.400000000000002</v>
      </c>
    </row>
    <row r="31" spans="1:36" x14ac:dyDescent="0.15">
      <c r="A31" s="19">
        <v>4.8999999999999998E-4</v>
      </c>
      <c r="B31" s="19" t="s">
        <v>378</v>
      </c>
      <c r="C31" s="462" t="s">
        <v>372</v>
      </c>
      <c r="D31" s="22"/>
      <c r="E31" s="23">
        <v>0</v>
      </c>
      <c r="F31" s="73">
        <v>0</v>
      </c>
      <c r="G31" s="22">
        <v>2.96E-3</v>
      </c>
      <c r="I31" s="474">
        <f ca="1">$C$67*SUMIF(Effektmåling!$D$144:$E$148,'DB energi'!B31,Effektmåling!$I$144:$I$148)</f>
        <v>0</v>
      </c>
      <c r="J31" s="41" t="str">
        <f t="shared" ca="1" si="2"/>
        <v/>
      </c>
      <c r="K31" s="48" t="str">
        <f ca="1">IF(J31="","",RANK(J31,$J$6:$J$37,0)+COUNTIF($J$6:J31,J31)-1)</f>
        <v/>
      </c>
      <c r="L31" s="19" t="str">
        <f t="shared" ca="1" si="3"/>
        <v/>
      </c>
      <c r="M31" s="19" t="str">
        <f t="shared" ca="1" si="4"/>
        <v/>
      </c>
      <c r="O31" s="474">
        <f ca="1">$C$67*SUMIF(Effektmåling!$D$71:$E$75,'DB energi'!B31,Effektmåling!$I$71:$I$75)</f>
        <v>0</v>
      </c>
      <c r="P31" s="41" t="str">
        <f t="shared" ca="1" si="15"/>
        <v/>
      </c>
      <c r="Q31" s="48" t="str">
        <f ca="1">IF(P31="","",RANK(P31,$P$6:$P$37,0)+COUNTIF($P$6:P31,P31)-1)</f>
        <v/>
      </c>
      <c r="R31" s="19" t="str">
        <f t="shared" ca="1" si="5"/>
        <v/>
      </c>
      <c r="S31" s="19" t="str">
        <f t="shared" ca="1" si="6"/>
        <v/>
      </c>
      <c r="U31" s="19">
        <f t="shared" ca="1" si="7"/>
        <v>1000000</v>
      </c>
      <c r="V31" s="19" t="str">
        <f t="shared" si="8"/>
        <v>Raffinaderigas  (m3)</v>
      </c>
      <c r="W31" s="19" t="str">
        <f t="shared" si="1"/>
        <v>m3</v>
      </c>
      <c r="X31" s="19">
        <f t="shared" ca="1" si="9"/>
        <v>0</v>
      </c>
      <c r="Y31" s="19">
        <f t="shared" si="10"/>
        <v>26</v>
      </c>
      <c r="Z31" s="19">
        <f t="shared" ca="1" si="11"/>
        <v>0</v>
      </c>
      <c r="AA31" s="19">
        <f t="shared" ca="1" si="12"/>
        <v>0</v>
      </c>
      <c r="AB31" s="19">
        <f t="shared" ca="1" si="13"/>
        <v>0</v>
      </c>
      <c r="AC31" s="19">
        <f t="shared" ca="1" si="14"/>
        <v>1000000</v>
      </c>
      <c r="AE31" s="19" t="s">
        <v>378</v>
      </c>
      <c r="AF31" s="462" t="s">
        <v>372</v>
      </c>
      <c r="AG31" s="19">
        <v>56.9</v>
      </c>
      <c r="AH31" s="19">
        <v>2.9588000000000001</v>
      </c>
      <c r="AI31" s="49">
        <f t="shared" si="16"/>
        <v>5.2000000000000005E-2</v>
      </c>
    </row>
    <row r="32" spans="1:36" x14ac:dyDescent="0.15">
      <c r="A32" s="19">
        <v>0</v>
      </c>
      <c r="B32" s="19" t="s">
        <v>379</v>
      </c>
      <c r="C32" s="462" t="s">
        <v>349</v>
      </c>
      <c r="D32" s="22"/>
      <c r="E32" s="23">
        <v>0</v>
      </c>
      <c r="F32" s="98">
        <v>0</v>
      </c>
      <c r="G32" s="22">
        <v>2.8100000000000005E-4</v>
      </c>
      <c r="I32" s="474">
        <f ca="1">$C$67*SUMIF(Effektmåling!$D$144:$E$148,'DB energi'!B32,Effektmåling!$I$144:$I$148)</f>
        <v>0</v>
      </c>
      <c r="J32" s="41" t="str">
        <f t="shared" ca="1" si="2"/>
        <v/>
      </c>
      <c r="K32" s="48" t="str">
        <f ca="1">IF(J32="","",RANK(J32,$J$6:$J$37,0)+COUNTIF($J$6:J32,J32)-1)</f>
        <v/>
      </c>
      <c r="L32" s="19" t="str">
        <f t="shared" ca="1" si="3"/>
        <v/>
      </c>
      <c r="M32" s="19" t="str">
        <f t="shared" ca="1" si="4"/>
        <v/>
      </c>
      <c r="O32" s="474">
        <f ca="1">$C$67*SUMIF(Effektmåling!$D$71:$E$75,'DB energi'!B32,Effektmåling!$I$71:$I$75)</f>
        <v>0</v>
      </c>
      <c r="P32" s="41" t="str">
        <f t="shared" ca="1" si="15"/>
        <v/>
      </c>
      <c r="Q32" s="48" t="str">
        <f ca="1">IF(P32="","",RANK(P32,$P$6:$P$37,0)+COUNTIF($P$6:P32,P32)-1)</f>
        <v/>
      </c>
      <c r="R32" s="19" t="str">
        <f t="shared" ca="1" si="5"/>
        <v/>
      </c>
      <c r="S32" s="19" t="str">
        <f t="shared" ca="1" si="6"/>
        <v/>
      </c>
      <c r="U32" s="19">
        <f t="shared" ca="1" si="7"/>
        <v>1000000</v>
      </c>
      <c r="V32" s="19" t="str">
        <f t="shared" si="8"/>
        <v>Spildolie (kWh)</v>
      </c>
      <c r="W32" s="19" t="str">
        <f t="shared" si="1"/>
        <v>kWh</v>
      </c>
      <c r="X32" s="19">
        <f t="shared" ca="1" si="9"/>
        <v>0</v>
      </c>
      <c r="Y32" s="19">
        <f t="shared" si="10"/>
        <v>27</v>
      </c>
      <c r="Z32" s="19">
        <f t="shared" ca="1" si="11"/>
        <v>0</v>
      </c>
      <c r="AA32" s="19">
        <f t="shared" ca="1" si="12"/>
        <v>0</v>
      </c>
      <c r="AB32" s="19">
        <f t="shared" ca="1" si="13"/>
        <v>0</v>
      </c>
      <c r="AC32" s="19">
        <f t="shared" ca="1" si="14"/>
        <v>1000000</v>
      </c>
      <c r="AE32" s="19" t="s">
        <v>379</v>
      </c>
      <c r="AF32" s="462" t="s">
        <v>349</v>
      </c>
      <c r="AG32" s="19">
        <v>78</v>
      </c>
      <c r="AH32" s="19">
        <v>0.28079999999999999</v>
      </c>
      <c r="AI32" s="49">
        <f t="shared" si="16"/>
        <v>3.5999999999999999E-3</v>
      </c>
    </row>
    <row r="33" spans="1:37" x14ac:dyDescent="0.15">
      <c r="A33" s="19">
        <v>0</v>
      </c>
      <c r="B33" s="19" t="s">
        <v>380</v>
      </c>
      <c r="C33" s="462" t="s">
        <v>236</v>
      </c>
      <c r="D33" s="22"/>
      <c r="E33" s="23">
        <v>0</v>
      </c>
      <c r="F33" s="98">
        <v>0</v>
      </c>
      <c r="G33" s="22">
        <v>3.2700000000000005</v>
      </c>
      <c r="I33" s="474">
        <f ca="1">$C$67*SUMIF(Effektmåling!$D$144:$E$148,'DB energi'!B33,Effektmåling!$I$144:$I$148)</f>
        <v>0</v>
      </c>
      <c r="J33" s="41" t="str">
        <f t="shared" ca="1" si="2"/>
        <v/>
      </c>
      <c r="K33" s="48" t="str">
        <f ca="1">IF(J33="","",RANK(J33,$J$6:$J$37,0)+COUNTIF($J$6:J33,J33)-1)</f>
        <v/>
      </c>
      <c r="L33" s="19" t="str">
        <f t="shared" ca="1" si="3"/>
        <v/>
      </c>
      <c r="M33" s="19" t="str">
        <f t="shared" ca="1" si="4"/>
        <v/>
      </c>
      <c r="O33" s="474">
        <f ca="1">$C$67*SUMIF(Effektmåling!$D$71:$E$75,'DB energi'!B33,Effektmåling!$I$71:$I$75)</f>
        <v>0</v>
      </c>
      <c r="P33" s="41" t="str">
        <f t="shared" ca="1" si="15"/>
        <v/>
      </c>
      <c r="Q33" s="48" t="str">
        <f ca="1">IF(P33="","",RANK(P33,$P$6:$P$37,0)+COUNTIF($P$6:P33,P33)-1)</f>
        <v/>
      </c>
      <c r="R33" s="19" t="str">
        <f t="shared" ca="1" si="5"/>
        <v/>
      </c>
      <c r="S33" s="19" t="str">
        <f t="shared" ca="1" si="6"/>
        <v/>
      </c>
      <c r="U33" s="19">
        <f t="shared" ca="1" si="7"/>
        <v>1000000</v>
      </c>
      <c r="V33" s="19" t="str">
        <f t="shared" si="8"/>
        <v>Spildolie (tons)</v>
      </c>
      <c r="W33" s="19" t="str">
        <f t="shared" si="1"/>
        <v>t</v>
      </c>
      <c r="X33" s="19">
        <f t="shared" ca="1" si="9"/>
        <v>0</v>
      </c>
      <c r="Y33" s="19">
        <f t="shared" si="10"/>
        <v>28</v>
      </c>
      <c r="Z33" s="19">
        <f t="shared" ca="1" si="11"/>
        <v>0</v>
      </c>
      <c r="AA33" s="19">
        <f t="shared" ca="1" si="12"/>
        <v>0</v>
      </c>
      <c r="AB33" s="19">
        <f t="shared" ca="1" si="13"/>
        <v>0</v>
      </c>
      <c r="AC33" s="19">
        <f t="shared" ca="1" si="14"/>
        <v>1000000</v>
      </c>
      <c r="AE33" s="19" t="s">
        <v>380</v>
      </c>
      <c r="AF33" s="462" t="s">
        <v>236</v>
      </c>
      <c r="AG33" s="19">
        <v>78</v>
      </c>
      <c r="AH33" s="19">
        <v>3268.2</v>
      </c>
      <c r="AI33" s="49">
        <f t="shared" si="16"/>
        <v>41.9</v>
      </c>
    </row>
    <row r="34" spans="1:37" x14ac:dyDescent="0.15">
      <c r="A34" s="19" t="s">
        <v>245</v>
      </c>
      <c r="B34" s="19" t="s">
        <v>381</v>
      </c>
      <c r="C34" s="462" t="s">
        <v>245</v>
      </c>
      <c r="D34" s="462"/>
      <c r="E34" s="462" t="s">
        <v>245</v>
      </c>
      <c r="F34" s="462" t="s">
        <v>245</v>
      </c>
      <c r="G34" s="462" t="s">
        <v>245</v>
      </c>
      <c r="I34" s="51" t="str">
        <f>IF(H34=0,"",H34*(C34+F34))</f>
        <v/>
      </c>
      <c r="J34" s="51"/>
      <c r="K34" s="45"/>
      <c r="L34" s="45"/>
      <c r="M34" s="45"/>
      <c r="O34" s="474"/>
      <c r="P34" s="51"/>
      <c r="Q34" s="51"/>
      <c r="R34" s="51"/>
      <c r="S34" s="51"/>
      <c r="T34" s="51"/>
      <c r="U34" s="19">
        <f t="shared" si="7"/>
        <v>1000000</v>
      </c>
      <c r="V34" s="19" t="str">
        <f t="shared" si="8"/>
        <v>-KØRETØJSBRÆNDSLER-</v>
      </c>
      <c r="W34" s="19" t="str">
        <f t="shared" si="1"/>
        <v>-</v>
      </c>
      <c r="X34" s="19">
        <v>0</v>
      </c>
      <c r="Y34" s="19">
        <f t="shared" si="10"/>
        <v>29</v>
      </c>
      <c r="Z34" s="19">
        <f t="shared" ca="1" si="11"/>
        <v>0</v>
      </c>
      <c r="AA34" s="19">
        <f t="shared" ca="1" si="12"/>
        <v>0</v>
      </c>
      <c r="AB34" s="19">
        <f t="shared" ca="1" si="13"/>
        <v>0</v>
      </c>
      <c r="AC34" s="19">
        <f t="shared" ca="1" si="14"/>
        <v>1000000</v>
      </c>
      <c r="AE34" s="19" t="s">
        <v>381</v>
      </c>
      <c r="AF34" s="462" t="s">
        <v>245</v>
      </c>
    </row>
    <row r="35" spans="1:37" x14ac:dyDescent="0.15">
      <c r="A35" s="19">
        <v>1.2999999999999999E-5</v>
      </c>
      <c r="B35" s="19" t="s">
        <v>382</v>
      </c>
      <c r="C35" s="462" t="s">
        <v>359</v>
      </c>
      <c r="D35" s="53"/>
      <c r="E35" s="87">
        <v>8.7230671686605783E-4</v>
      </c>
      <c r="F35" s="77">
        <v>9.5107197910910893E-3</v>
      </c>
      <c r="G35" s="53">
        <v>2.3400000000000001E-3</v>
      </c>
      <c r="I35" s="19">
        <f ca="1">$C$67*SUMIF(Effektmåling!$D$144:$E$148,'DB energi'!B35,Effektmåling!$I$144:$I$148)</f>
        <v>0</v>
      </c>
      <c r="J35" s="41" t="str">
        <f ca="1">IF(I35=0,"",I35*(D35+G35))</f>
        <v/>
      </c>
      <c r="K35" s="48" t="str">
        <f ca="1">IF(J35="","",RANK(J35,$J$6:$J$37,0)+COUNTIF($J$6:J35,J35)-1)</f>
        <v/>
      </c>
      <c r="L35" s="19" t="str">
        <f t="shared" ca="1" si="3"/>
        <v/>
      </c>
      <c r="M35" s="19" t="str">
        <f t="shared" ca="1" si="4"/>
        <v/>
      </c>
      <c r="O35" s="474">
        <f ca="1">$C$67*SUMIF(Effektmåling!$D$71:$E$75,'DB energi'!B35,Effektmåling!$I$71:$I$75)</f>
        <v>0</v>
      </c>
      <c r="P35" s="40" t="str">
        <f ca="1">IF(O35=0,"",O35*(D35+G35))</f>
        <v/>
      </c>
      <c r="Q35" s="48" t="str">
        <f ca="1">IF(P35="","",RANK(P35,$P$6:$P$37,0)+COUNTIF($P$6:P35,P35)-1)</f>
        <v/>
      </c>
      <c r="R35" s="19" t="str">
        <f t="shared" ca="1" si="5"/>
        <v/>
      </c>
      <c r="S35" s="19" t="str">
        <f t="shared" ca="1" si="6"/>
        <v/>
      </c>
      <c r="U35" s="19">
        <f t="shared" ca="1" si="7"/>
        <v>1000000</v>
      </c>
      <c r="V35" s="19" t="str">
        <f t="shared" si="8"/>
        <v>Benzin (% biobr.) (liter)</v>
      </c>
      <c r="W35" s="19" t="str">
        <f t="shared" si="1"/>
        <v>liter</v>
      </c>
      <c r="X35" s="19">
        <f t="shared" ca="1" si="9"/>
        <v>0</v>
      </c>
      <c r="Y35" s="19">
        <f t="shared" si="10"/>
        <v>30</v>
      </c>
      <c r="Z35" s="19">
        <f t="shared" ca="1" si="11"/>
        <v>0</v>
      </c>
      <c r="AA35" s="19">
        <f t="shared" ca="1" si="12"/>
        <v>0</v>
      </c>
      <c r="AB35" s="19">
        <f t="shared" ca="1" si="13"/>
        <v>0</v>
      </c>
      <c r="AC35" s="19">
        <f t="shared" ca="1" si="14"/>
        <v>1000000</v>
      </c>
      <c r="AE35" s="19" t="s">
        <v>382</v>
      </c>
      <c r="AF35" s="462" t="s">
        <v>359</v>
      </c>
      <c r="AG35" s="19">
        <v>73</v>
      </c>
      <c r="AH35" s="19">
        <v>2.34</v>
      </c>
      <c r="AI35" s="49">
        <f>AH35/AG35</f>
        <v>3.2054794520547943E-2</v>
      </c>
      <c r="AJ35" s="450">
        <f>32.85/1000</f>
        <v>3.2850000000000004E-2</v>
      </c>
      <c r="AK35" s="450" t="s">
        <v>383</v>
      </c>
    </row>
    <row r="36" spans="1:37" ht="11.25" x14ac:dyDescent="0.15">
      <c r="A36" s="19">
        <v>7.9999999999999996E-6</v>
      </c>
      <c r="B36" s="19" t="s">
        <v>384</v>
      </c>
      <c r="C36" s="462" t="s">
        <v>359</v>
      </c>
      <c r="D36" s="22"/>
      <c r="E36" s="23">
        <v>9.7047229618717678E-4</v>
      </c>
      <c r="F36" s="77">
        <v>7.8661444889040824E-3</v>
      </c>
      <c r="G36" s="22">
        <v>2.66E-3</v>
      </c>
      <c r="I36" s="19">
        <f ca="1">$C$67*SUMIF(Effektmåling!$D$144:$E$148,'DB energi'!B36,Effektmåling!$I$144:$I$148)</f>
        <v>0</v>
      </c>
      <c r="J36" s="41" t="str">
        <f ca="1">IF(I36=0,"",I36*(D36+G36))</f>
        <v/>
      </c>
      <c r="K36" s="48" t="str">
        <f ca="1">IF(J36="","",RANK(J36,$J$6:$J$37,0)+COUNTIF($J$6:J36,J36)-1)</f>
        <v/>
      </c>
      <c r="L36" s="19" t="str">
        <f t="shared" ca="1" si="3"/>
        <v/>
      </c>
      <c r="M36" s="19" t="str">
        <f t="shared" ca="1" si="4"/>
        <v/>
      </c>
      <c r="O36" s="474">
        <f ca="1">$C$67*SUMIF(Effektmåling!$D$71:$E$75,'DB energi'!B36,Effektmåling!$I$71:$I$75)</f>
        <v>0</v>
      </c>
      <c r="P36" s="41" t="str">
        <f t="shared" ca="1" si="15"/>
        <v/>
      </c>
      <c r="Q36" s="48" t="str">
        <f ca="1">IF(P36="","",RANK(P36,$P$6:$P$37,0)+COUNTIF($P$6:P36,P36)-1)</f>
        <v/>
      </c>
      <c r="R36" s="19" t="str">
        <f t="shared" ca="1" si="5"/>
        <v/>
      </c>
      <c r="S36" s="19" t="str">
        <f t="shared" ca="1" si="6"/>
        <v/>
      </c>
      <c r="U36" s="19">
        <f t="shared" ca="1" si="7"/>
        <v>1000000</v>
      </c>
      <c r="V36" s="19" t="str">
        <f t="shared" si="8"/>
        <v>Diesel (% biobr.) (liter)</v>
      </c>
      <c r="W36" s="19" t="str">
        <f t="shared" si="1"/>
        <v>liter</v>
      </c>
      <c r="X36" s="19">
        <f t="shared" ca="1" si="9"/>
        <v>0</v>
      </c>
      <c r="Y36" s="19">
        <f t="shared" si="10"/>
        <v>31</v>
      </c>
      <c r="Z36" s="19">
        <f t="shared" ca="1" si="11"/>
        <v>0</v>
      </c>
      <c r="AA36" s="19">
        <f t="shared" ca="1" si="12"/>
        <v>0</v>
      </c>
      <c r="AB36" s="19">
        <f t="shared" ca="1" si="13"/>
        <v>0</v>
      </c>
      <c r="AC36" s="19">
        <f t="shared" ca="1" si="14"/>
        <v>1000000</v>
      </c>
      <c r="AE36" s="19" t="s">
        <v>384</v>
      </c>
      <c r="AF36" s="462" t="s">
        <v>359</v>
      </c>
      <c r="AG36" s="20">
        <f>0.325/0.0036</f>
        <v>90.277777777777786</v>
      </c>
      <c r="AH36" s="19">
        <v>3.24</v>
      </c>
      <c r="AI36" s="49">
        <f>AH36/AG36</f>
        <v>3.588923076923077E-2</v>
      </c>
      <c r="AJ36" s="450">
        <f>35.87/1000</f>
        <v>3.5869999999999999E-2</v>
      </c>
      <c r="AK36" s="455" t="s">
        <v>383</v>
      </c>
    </row>
    <row r="37" spans="1:37" x14ac:dyDescent="0.15">
      <c r="A37" s="19">
        <v>6.3000000000000003E-4</v>
      </c>
      <c r="B37" s="17" t="s">
        <v>385</v>
      </c>
      <c r="C37" s="28" t="s">
        <v>359</v>
      </c>
      <c r="D37" s="55"/>
      <c r="E37" s="80">
        <v>7.1068839118665285E-4</v>
      </c>
      <c r="F37" s="78">
        <v>5.995513122744124E-3</v>
      </c>
      <c r="G37" s="55">
        <v>1.6299999999999999E-3</v>
      </c>
      <c r="I37" s="474">
        <f ca="1">$C$67*SUMIF(Effektmåling!$D$144:$E$148,'DB energi'!B37,Effektmåling!$I$144:$I$148)</f>
        <v>0</v>
      </c>
      <c r="J37" s="52" t="str">
        <f ca="1">IF(I37=0,"",I37*(D37+G37))</f>
        <v/>
      </c>
      <c r="K37" s="50" t="str">
        <f ca="1">IF(J37="","",RANK(J37,$J$6:$J$37,0)+COUNTIF($J$6:J37,J37)-1)</f>
        <v/>
      </c>
      <c r="L37" s="19" t="str">
        <f t="shared" ca="1" si="3"/>
        <v/>
      </c>
      <c r="M37" s="17" t="str">
        <f t="shared" ca="1" si="4"/>
        <v/>
      </c>
      <c r="O37" s="474">
        <f ca="1">$C$67*SUMIF(Effektmåling!$D$71:$E$75,'DB energi'!B37,Effektmåling!$I$71:$I$75)</f>
        <v>0</v>
      </c>
      <c r="P37" s="41" t="str">
        <f t="shared" ca="1" si="15"/>
        <v/>
      </c>
      <c r="Q37" s="48" t="str">
        <f ca="1">IF(P37="","",RANK(P37,$P$6:$P$37,0)+COUNTIF($P$6:P37,P37)-1)</f>
        <v/>
      </c>
      <c r="R37" s="19" t="str">
        <f t="shared" ca="1" si="5"/>
        <v/>
      </c>
      <c r="S37" s="19" t="str">
        <f t="shared" ca="1" si="6"/>
        <v/>
      </c>
      <c r="U37" s="19">
        <f t="shared" ca="1" si="7"/>
        <v>1000000</v>
      </c>
      <c r="V37" s="19" t="str">
        <f t="shared" si="8"/>
        <v>LPG (% biobr.) (liter)</v>
      </c>
      <c r="W37" s="19" t="str">
        <f t="shared" si="1"/>
        <v>liter</v>
      </c>
      <c r="X37" s="19">
        <f t="shared" ca="1" si="9"/>
        <v>0</v>
      </c>
      <c r="Y37" s="19">
        <f t="shared" si="10"/>
        <v>32</v>
      </c>
      <c r="Z37" s="19">
        <f t="shared" ca="1" si="11"/>
        <v>0</v>
      </c>
      <c r="AA37" s="19">
        <f t="shared" ca="1" si="12"/>
        <v>0</v>
      </c>
      <c r="AB37" s="19">
        <f t="shared" ca="1" si="13"/>
        <v>0</v>
      </c>
      <c r="AC37" s="19">
        <f t="shared" ca="1" si="14"/>
        <v>1000000</v>
      </c>
      <c r="AE37" s="17" t="s">
        <v>385</v>
      </c>
      <c r="AF37" s="28" t="s">
        <v>359</v>
      </c>
      <c r="AG37" s="19">
        <v>65</v>
      </c>
      <c r="AH37" s="19">
        <v>1.625</v>
      </c>
      <c r="AI37" s="49">
        <f>AH37/AG37</f>
        <v>2.5000000000000001E-2</v>
      </c>
    </row>
    <row r="38" spans="1:37" x14ac:dyDescent="0.15">
      <c r="E38" s="75"/>
      <c r="I38" s="31" t="s">
        <v>386</v>
      </c>
      <c r="J38" s="33">
        <f ca="1">SUM(J6:J37)</f>
        <v>0</v>
      </c>
      <c r="K38" s="31">
        <f ca="1">MAX(K6:K37)</f>
        <v>0</v>
      </c>
      <c r="L38" s="31">
        <f ca="1">SUM(L6:L37)</f>
        <v>0</v>
      </c>
      <c r="M38" s="31">
        <f ca="1">SUM(M6:M37)</f>
        <v>0</v>
      </c>
      <c r="O38" s="31" t="s">
        <v>386</v>
      </c>
      <c r="P38" s="33">
        <f ca="1">SUM(P6:P37)</f>
        <v>0</v>
      </c>
      <c r="Q38" s="31">
        <f ca="1">MAX(Q6:Q37)</f>
        <v>0</v>
      </c>
      <c r="R38" s="31">
        <f ca="1">SUM(R6:R37)</f>
        <v>0</v>
      </c>
      <c r="S38" s="31">
        <f ca="1">SUM(S6:S37)</f>
        <v>0</v>
      </c>
      <c r="T38" s="29"/>
    </row>
    <row r="39" spans="1:37" x14ac:dyDescent="0.15">
      <c r="E39" s="75"/>
      <c r="Y39" s="19">
        <v>32</v>
      </c>
    </row>
    <row r="40" spans="1:37" x14ac:dyDescent="0.15">
      <c r="B40" s="17" t="s">
        <v>387</v>
      </c>
      <c r="C40" s="17"/>
      <c r="D40" s="17"/>
      <c r="E40" s="56"/>
      <c r="F40" s="17"/>
      <c r="G40" s="17"/>
      <c r="I40" s="17" t="s">
        <v>388</v>
      </c>
      <c r="J40" s="56" t="s">
        <v>389</v>
      </c>
      <c r="K40" s="17" t="s">
        <v>238</v>
      </c>
      <c r="L40" s="17" t="s">
        <v>236</v>
      </c>
    </row>
    <row r="41" spans="1:37" x14ac:dyDescent="0.15">
      <c r="B41" s="19" t="s">
        <v>145</v>
      </c>
      <c r="C41" s="46"/>
      <c r="D41" s="46"/>
      <c r="E41" s="76"/>
      <c r="F41" s="46"/>
      <c r="G41" s="46"/>
    </row>
    <row r="42" spans="1:37" x14ac:dyDescent="0.15">
      <c r="B42" s="19" t="s">
        <v>144</v>
      </c>
      <c r="C42" s="49" t="s">
        <v>349</v>
      </c>
      <c r="D42" s="49"/>
      <c r="E42" s="79">
        <v>0.233775962364178</v>
      </c>
      <c r="F42" s="79">
        <v>3.6064372252241602E-3</v>
      </c>
      <c r="G42" s="82">
        <f>239.7333*10^-6</f>
        <v>2.397333E-4</v>
      </c>
      <c r="H42" s="19" t="s">
        <v>390</v>
      </c>
      <c r="I42" s="19">
        <f ca="1">(SUMIF(Effektmåling!$D$27:$E$31,'DB energi'!B42,Effektmåling!$I$27:$I$31))/100</f>
        <v>1</v>
      </c>
      <c r="J42" s="29">
        <f ca="1">I42*(G42+D42)</f>
        <v>2.397333E-4</v>
      </c>
      <c r="K42" s="75">
        <f ca="1">I42*F42</f>
        <v>3.6064372252241602E-3</v>
      </c>
      <c r="L42" s="75">
        <f ca="1">K42*E42</f>
        <v>8.430983330327738E-4</v>
      </c>
    </row>
    <row r="43" spans="1:37" x14ac:dyDescent="0.15">
      <c r="B43" s="19" t="s">
        <v>391</v>
      </c>
      <c r="C43" s="46"/>
      <c r="D43" s="45"/>
      <c r="E43" s="46"/>
      <c r="F43" s="202"/>
      <c r="G43" s="46"/>
      <c r="I43" s="46"/>
      <c r="J43" s="45"/>
      <c r="K43" s="76"/>
      <c r="L43" s="76"/>
    </row>
    <row r="44" spans="1:37" x14ac:dyDescent="0.15">
      <c r="B44" s="19" t="s">
        <v>392</v>
      </c>
      <c r="C44" s="19" t="s">
        <v>349</v>
      </c>
      <c r="D44" s="29"/>
      <c r="E44" s="79">
        <v>8.9385498911822694E-2</v>
      </c>
      <c r="F44" s="203">
        <v>3.2554934016430998E-3</v>
      </c>
      <c r="G44" s="79">
        <v>3.3050693879832998E-4</v>
      </c>
      <c r="I44" s="19">
        <f ca="1">(SUMIF(Effektmåling!$D$27:$E$31,'DB energi'!B44,Effektmåling!$I$27:$I$31))/100</f>
        <v>0</v>
      </c>
      <c r="J44" s="29">
        <f t="shared" ref="J44:J56" ca="1" si="17">I44*(G44+D44)</f>
        <v>0</v>
      </c>
      <c r="K44" s="75">
        <f t="shared" ref="K44:K60" ca="1" si="18">I44*F44</f>
        <v>0</v>
      </c>
      <c r="L44" s="75">
        <f t="shared" ref="L44:L60" ca="1" si="19">K44*E44</f>
        <v>0</v>
      </c>
    </row>
    <row r="45" spans="1:37" x14ac:dyDescent="0.15">
      <c r="B45" s="19" t="s">
        <v>393</v>
      </c>
      <c r="C45" s="19" t="s">
        <v>349</v>
      </c>
      <c r="D45" s="29"/>
      <c r="E45" s="79">
        <v>0.294315742471214</v>
      </c>
      <c r="F45" s="203">
        <v>7.6087709322461702E-4</v>
      </c>
      <c r="G45" s="79">
        <v>5.2070000000000003E-4</v>
      </c>
      <c r="I45" s="19">
        <f ca="1">(SUMIF(Effektmåling!$D$27:$E$31,'DB energi'!B45,Effektmåling!$I$27:$I$31))/100</f>
        <v>0</v>
      </c>
      <c r="J45" s="29">
        <f t="shared" ca="1" si="17"/>
        <v>0</v>
      </c>
      <c r="K45" s="75">
        <f t="shared" ca="1" si="18"/>
        <v>0</v>
      </c>
      <c r="L45" s="75">
        <f t="shared" ca="1" si="19"/>
        <v>0</v>
      </c>
    </row>
    <row r="46" spans="1:37" x14ac:dyDescent="0.15">
      <c r="B46" s="19" t="s">
        <v>394</v>
      </c>
      <c r="C46" s="19" t="s">
        <v>349</v>
      </c>
      <c r="D46" s="29"/>
      <c r="E46" s="79">
        <v>0.21569202257841699</v>
      </c>
      <c r="F46" s="203">
        <v>3.2164066405717699E-3</v>
      </c>
      <c r="G46" s="79">
        <v>3.9898293514854398E-4</v>
      </c>
      <c r="I46" s="19">
        <f ca="1">(SUMIF(Effektmåling!$D$27:$E$31,'DB energi'!B46,Effektmåling!$I$27:$I$31))/100</f>
        <v>0</v>
      </c>
      <c r="J46" s="29">
        <f t="shared" ca="1" si="17"/>
        <v>0</v>
      </c>
      <c r="K46" s="75">
        <f t="shared" ca="1" si="18"/>
        <v>0</v>
      </c>
      <c r="L46" s="75">
        <f t="shared" ca="1" si="19"/>
        <v>0</v>
      </c>
    </row>
    <row r="47" spans="1:37" x14ac:dyDescent="0.15">
      <c r="B47" s="19" t="s">
        <v>395</v>
      </c>
      <c r="C47" s="19" t="s">
        <v>349</v>
      </c>
      <c r="D47" s="29"/>
      <c r="E47" s="79">
        <v>6.0183050889910501E-2</v>
      </c>
      <c r="F47" s="203">
        <v>3.2491916032498401E-3</v>
      </c>
      <c r="G47" s="79">
        <v>1.1852552895978801E-4</v>
      </c>
      <c r="I47" s="19">
        <f ca="1">(SUMIF(Effektmåling!$D$27:$E$31,'DB energi'!B47,Effektmåling!$I$27:$I$31))/100</f>
        <v>0</v>
      </c>
      <c r="J47" s="29">
        <f t="shared" ca="1" si="17"/>
        <v>0</v>
      </c>
      <c r="K47" s="75">
        <f t="shared" ca="1" si="18"/>
        <v>0</v>
      </c>
      <c r="L47" s="75">
        <f t="shared" ca="1" si="19"/>
        <v>0</v>
      </c>
    </row>
    <row r="48" spans="1:37" x14ac:dyDescent="0.15">
      <c r="B48" s="19" t="s">
        <v>396</v>
      </c>
      <c r="C48" s="19" t="s">
        <v>349</v>
      </c>
      <c r="D48" s="29"/>
      <c r="E48" s="79">
        <v>0.233402460474888</v>
      </c>
      <c r="F48" s="203">
        <v>3.3985560691398098E-3</v>
      </c>
      <c r="G48" s="79">
        <v>6.7999698263667492E-4</v>
      </c>
      <c r="I48" s="19">
        <f ca="1">(SUMIF(Effektmåling!$D$27:$E$31,'DB energi'!B48,Effektmåling!$I$27:$I$31))/100</f>
        <v>0</v>
      </c>
      <c r="J48" s="29">
        <f t="shared" ca="1" si="17"/>
        <v>0</v>
      </c>
      <c r="K48" s="75">
        <f t="shared" ca="1" si="18"/>
        <v>0</v>
      </c>
      <c r="L48" s="75">
        <f t="shared" ca="1" si="19"/>
        <v>0</v>
      </c>
    </row>
    <row r="49" spans="2:20" x14ac:dyDescent="0.15">
      <c r="B49" s="19" t="s">
        <v>397</v>
      </c>
      <c r="C49" s="19" t="s">
        <v>349</v>
      </c>
      <c r="D49" s="29"/>
      <c r="E49" s="79">
        <v>0.15650227318173199</v>
      </c>
      <c r="F49" s="203">
        <v>3.9057101715077799E-3</v>
      </c>
      <c r="G49" s="79">
        <v>6.4154181792904896E-4</v>
      </c>
      <c r="I49" s="19">
        <f ca="1">(SUMIF(Effektmåling!$D$27:$E$31,'DB energi'!B49,Effektmåling!$I$27:$I$31))/100</f>
        <v>0</v>
      </c>
      <c r="J49" s="29">
        <f t="shared" ca="1" si="17"/>
        <v>0</v>
      </c>
      <c r="K49" s="75">
        <f t="shared" ca="1" si="18"/>
        <v>0</v>
      </c>
      <c r="L49" s="75">
        <f t="shared" ca="1" si="19"/>
        <v>0</v>
      </c>
      <c r="Q49" s="75">
        <f>F8</f>
        <v>2.9854860902027463E-4</v>
      </c>
    </row>
    <row r="50" spans="2:20" x14ac:dyDescent="0.15">
      <c r="B50" s="19" t="s">
        <v>398</v>
      </c>
      <c r="C50" s="19" t="s">
        <v>349</v>
      </c>
      <c r="D50" s="29"/>
      <c r="E50" s="79">
        <v>5.6417718582236501E-2</v>
      </c>
      <c r="F50" s="203">
        <v>2.93514706757183E-3</v>
      </c>
      <c r="G50" s="79">
        <v>2.55018180364614E-5</v>
      </c>
      <c r="I50" s="19">
        <f ca="1">(SUMIF(Effektmåling!$D$27:$E$31,'DB energi'!B50,Effektmåling!$I$27:$I$31))/100</f>
        <v>0</v>
      </c>
      <c r="J50" s="29">
        <f t="shared" ca="1" si="17"/>
        <v>0</v>
      </c>
      <c r="K50" s="75">
        <f t="shared" ca="1" si="18"/>
        <v>0</v>
      </c>
      <c r="L50" s="75">
        <f t="shared" ca="1" si="19"/>
        <v>0</v>
      </c>
      <c r="S50" s="75">
        <f>Q51/Q49</f>
        <v>5077.1428571428569</v>
      </c>
    </row>
    <row r="51" spans="2:20" x14ac:dyDescent="0.15">
      <c r="B51" s="19" t="s">
        <v>399</v>
      </c>
      <c r="C51" s="19" t="s">
        <v>349</v>
      </c>
      <c r="D51" s="29"/>
      <c r="E51" s="79">
        <v>0.95395222364393395</v>
      </c>
      <c r="F51" s="203">
        <v>3.30150668919422E-3</v>
      </c>
      <c r="G51" s="79">
        <v>1.16635818351904E-3</v>
      </c>
      <c r="I51" s="19">
        <f ca="1">(SUMIF(Effektmåling!$D$27:$E$31,'DB energi'!B51,Effektmåling!$I$27:$I$31))/100</f>
        <v>0</v>
      </c>
      <c r="J51" s="29">
        <f t="shared" ca="1" si="17"/>
        <v>0</v>
      </c>
      <c r="K51" s="75">
        <f t="shared" ca="1" si="18"/>
        <v>0</v>
      </c>
      <c r="L51" s="75">
        <f t="shared" ca="1" si="19"/>
        <v>0</v>
      </c>
      <c r="Q51" s="75">
        <f>F9</f>
        <v>1.5157739377972228</v>
      </c>
      <c r="S51" s="75">
        <f>1/S50</f>
        <v>1.9696117051209904E-4</v>
      </c>
      <c r="T51" s="75">
        <f>S51*3.6</f>
        <v>7.0906021384355654E-4</v>
      </c>
    </row>
    <row r="52" spans="2:20" x14ac:dyDescent="0.15">
      <c r="B52" s="19" t="s">
        <v>400</v>
      </c>
      <c r="C52" s="19" t="s">
        <v>349</v>
      </c>
      <c r="D52" s="29"/>
      <c r="E52" s="79">
        <v>0.27920132914896101</v>
      </c>
      <c r="F52" s="203">
        <v>3.44994706777931E-3</v>
      </c>
      <c r="G52" s="79">
        <v>7.5925978005893799E-4</v>
      </c>
      <c r="I52" s="19">
        <f ca="1">(SUMIF(Effektmåling!$D$27:$E$31,'DB energi'!B52,Effektmåling!$I$27:$I$31))/100</f>
        <v>0</v>
      </c>
      <c r="J52" s="29">
        <f t="shared" ca="1" si="17"/>
        <v>0</v>
      </c>
      <c r="K52" s="75">
        <f t="shared" ca="1" si="18"/>
        <v>0</v>
      </c>
      <c r="L52" s="75">
        <f t="shared" ca="1" si="19"/>
        <v>0</v>
      </c>
    </row>
    <row r="53" spans="2:20" x14ac:dyDescent="0.15">
      <c r="B53" s="19" t="s">
        <v>401</v>
      </c>
      <c r="C53" s="19" t="s">
        <v>349</v>
      </c>
      <c r="D53" s="29"/>
      <c r="E53" s="79">
        <v>0.144064696807122</v>
      </c>
      <c r="F53" s="203">
        <v>3.8426671729790002E-3</v>
      </c>
      <c r="G53" s="79">
        <v>4.9415595423348804E-4</v>
      </c>
      <c r="I53" s="19">
        <f ca="1">(SUMIF(Effektmåling!$D$27:$E$31,'DB energi'!B53,Effektmåling!$I$27:$I$31))/100</f>
        <v>0</v>
      </c>
      <c r="J53" s="29">
        <f t="shared" ca="1" si="17"/>
        <v>0</v>
      </c>
      <c r="K53" s="75">
        <f t="shared" ca="1" si="18"/>
        <v>0</v>
      </c>
      <c r="L53" s="75">
        <f t="shared" ca="1" si="19"/>
        <v>0</v>
      </c>
    </row>
    <row r="54" spans="2:20" x14ac:dyDescent="0.15">
      <c r="B54" s="19" t="s">
        <v>402</v>
      </c>
      <c r="C54" s="19" t="s">
        <v>349</v>
      </c>
      <c r="D54" s="29"/>
      <c r="E54" s="79">
        <v>0.25082974405323</v>
      </c>
      <c r="F54" s="203">
        <v>3.4690507944010501E-3</v>
      </c>
      <c r="G54" s="79">
        <v>6.9434745827050704E-4</v>
      </c>
      <c r="I54" s="19">
        <f ca="1">(SUMIF(Effektmåling!$D$27:$E$31,'DB energi'!B54,Effektmåling!$I$27:$I$31))/100</f>
        <v>0</v>
      </c>
      <c r="J54" s="29">
        <f t="shared" ca="1" si="17"/>
        <v>0</v>
      </c>
      <c r="K54" s="75">
        <f t="shared" ca="1" si="18"/>
        <v>0</v>
      </c>
      <c r="L54" s="75">
        <f t="shared" ca="1" si="19"/>
        <v>0</v>
      </c>
    </row>
    <row r="55" spans="2:20" x14ac:dyDescent="0.15">
      <c r="B55" s="19" t="s">
        <v>403</v>
      </c>
      <c r="C55" s="19" t="s">
        <v>349</v>
      </c>
      <c r="D55" s="29"/>
      <c r="E55" s="79">
        <v>5.0145439710325299E-2</v>
      </c>
      <c r="F55" s="203">
        <v>3.09544291998757E-3</v>
      </c>
      <c r="G55" s="79">
        <v>6.3978194428778595E-5</v>
      </c>
      <c r="I55" s="19">
        <f ca="1">(SUMIF(Effektmåling!$D$27:$E$31,'DB energi'!B55,Effektmåling!$I$27:$I$31))/100</f>
        <v>0</v>
      </c>
      <c r="J55" s="29">
        <f t="shared" ca="1" si="17"/>
        <v>0</v>
      </c>
      <c r="K55" s="75">
        <f t="shared" ca="1" si="18"/>
        <v>0</v>
      </c>
      <c r="L55" s="75">
        <f t="shared" ca="1" si="19"/>
        <v>0</v>
      </c>
    </row>
    <row r="56" spans="2:20" x14ac:dyDescent="0.15">
      <c r="B56" s="19" t="s">
        <v>404</v>
      </c>
      <c r="C56" s="19" t="s">
        <v>349</v>
      </c>
      <c r="D56" s="29"/>
      <c r="E56" s="79">
        <v>0.49642111625255703</v>
      </c>
      <c r="F56" s="203">
        <v>3.6602114204272599E-3</v>
      </c>
      <c r="G56" s="79">
        <v>6.8014568195159193E-4</v>
      </c>
      <c r="I56" s="19">
        <f ca="1">(SUMIF(Effektmåling!$D$27:$E$31,'DB energi'!B56,Effektmåling!$I$27:$I$31))/100</f>
        <v>0</v>
      </c>
      <c r="J56" s="29">
        <f t="shared" ca="1" si="17"/>
        <v>0</v>
      </c>
      <c r="K56" s="75">
        <f t="shared" ca="1" si="18"/>
        <v>0</v>
      </c>
      <c r="L56" s="75">
        <f t="shared" ca="1" si="19"/>
        <v>0</v>
      </c>
      <c r="Q56" s="19">
        <v>1000</v>
      </c>
      <c r="R56" s="19" t="s">
        <v>405</v>
      </c>
      <c r="S56" s="19">
        <v>0.34</v>
      </c>
      <c r="T56" s="75">
        <f>S57/S56</f>
        <v>5091.1764705882351</v>
      </c>
    </row>
    <row r="57" spans="2:20" x14ac:dyDescent="0.15">
      <c r="B57" s="19" t="s">
        <v>406</v>
      </c>
      <c r="C57" s="46"/>
      <c r="D57" s="45"/>
      <c r="E57" s="76"/>
      <c r="F57" s="202"/>
      <c r="G57" s="46"/>
      <c r="I57" s="46"/>
      <c r="J57" s="45"/>
      <c r="K57" s="76"/>
      <c r="L57" s="76"/>
      <c r="Q57" s="19">
        <v>1000</v>
      </c>
      <c r="R57" s="19" t="s">
        <v>236</v>
      </c>
      <c r="S57" s="19">
        <v>1731</v>
      </c>
    </row>
    <row r="58" spans="2:20" x14ac:dyDescent="0.15">
      <c r="B58" s="19" t="s">
        <v>407</v>
      </c>
      <c r="C58" s="19" t="s">
        <v>349</v>
      </c>
      <c r="D58" s="29"/>
      <c r="E58" s="79">
        <v>0.25953671150759899</v>
      </c>
      <c r="F58" s="203">
        <v>3.8448122314122201E-3</v>
      </c>
      <c r="G58" s="79">
        <v>6.6824362856230497E-4</v>
      </c>
      <c r="I58" s="19">
        <f ca="1">(SUMIF(Effektmåling!$D$27:$E$31,'DB energi'!B58,Effektmåling!$I$27:$I$31))/100</f>
        <v>0</v>
      </c>
      <c r="J58" s="29">
        <f ca="1">I58*(G58+D58)</f>
        <v>0</v>
      </c>
      <c r="K58" s="75">
        <f t="shared" ca="1" si="18"/>
        <v>0</v>
      </c>
      <c r="L58" s="75">
        <f t="shared" ca="1" si="19"/>
        <v>0</v>
      </c>
    </row>
    <row r="59" spans="2:20" x14ac:dyDescent="0.15">
      <c r="B59" s="19" t="s">
        <v>408</v>
      </c>
      <c r="C59" s="19" t="s">
        <v>349</v>
      </c>
      <c r="D59" s="29"/>
      <c r="E59" s="79">
        <v>0.50940067775245101</v>
      </c>
      <c r="F59" s="203">
        <v>3.0896034879662601E-3</v>
      </c>
      <c r="G59" s="79">
        <v>1.1531255644868701E-3</v>
      </c>
      <c r="I59" s="19">
        <f ca="1">(SUMIF(Effektmåling!$D$27:$E$31,'DB energi'!B59,Effektmåling!$I$27:$I$31))/100</f>
        <v>0</v>
      </c>
      <c r="J59" s="29">
        <f ca="1">I59*(G59+D59)</f>
        <v>0</v>
      </c>
      <c r="K59" s="75">
        <f t="shared" ca="1" si="18"/>
        <v>0</v>
      </c>
      <c r="L59" s="75">
        <f t="shared" ca="1" si="19"/>
        <v>0</v>
      </c>
    </row>
    <row r="60" spans="2:20" x14ac:dyDescent="0.15">
      <c r="B60" s="17" t="s">
        <v>409</v>
      </c>
      <c r="C60" s="17" t="s">
        <v>349</v>
      </c>
      <c r="D60" s="17"/>
      <c r="E60" s="80">
        <v>0.365496641820023</v>
      </c>
      <c r="F60" s="80">
        <v>1.0483838693216799E-3</v>
      </c>
      <c r="G60" s="80">
        <v>8.0840000000000013E-4</v>
      </c>
      <c r="I60" s="17">
        <f ca="1">(SUMIF(Effektmåling!$D$27:$E$31,'DB energi'!B60,Effektmåling!$I$27:$I$31))/100</f>
        <v>0</v>
      </c>
      <c r="J60" s="17">
        <f ca="1">I60*(G60+D60)</f>
        <v>0</v>
      </c>
      <c r="K60" s="56">
        <f t="shared" ca="1" si="18"/>
        <v>0</v>
      </c>
      <c r="L60" s="56">
        <f t="shared" ca="1" si="19"/>
        <v>0</v>
      </c>
    </row>
    <row r="61" spans="2:20" x14ac:dyDescent="0.15">
      <c r="I61" s="31" t="s">
        <v>410</v>
      </c>
      <c r="J61" s="31">
        <f ca="1">SUM(J41:J60)</f>
        <v>2.397333E-4</v>
      </c>
      <c r="K61" s="56">
        <f ca="1">SUM(K42:K60)</f>
        <v>3.6064372252241602E-3</v>
      </c>
      <c r="L61" s="56">
        <f ca="1">SUM(L42:L60)</f>
        <v>8.430983330327738E-4</v>
      </c>
    </row>
    <row r="63" spans="2:20" x14ac:dyDescent="0.15">
      <c r="B63" s="59" t="s">
        <v>302</v>
      </c>
      <c r="C63" s="17"/>
      <c r="D63" s="17"/>
      <c r="E63" s="17"/>
    </row>
    <row r="64" spans="2:20" x14ac:dyDescent="0.15">
      <c r="B64" s="19" t="s">
        <v>304</v>
      </c>
      <c r="C64" s="60" t="str">
        <f>Effektmåling!C119</f>
        <v>over produktets levetid</v>
      </c>
    </row>
    <row r="65" spans="2:5" x14ac:dyDescent="0.15">
      <c r="B65" s="19" t="s">
        <v>308</v>
      </c>
      <c r="C65" s="60">
        <f>Effektmåling!I45</f>
        <v>1</v>
      </c>
    </row>
    <row r="66" spans="2:5" x14ac:dyDescent="0.15">
      <c r="B66" s="17" t="s">
        <v>309</v>
      </c>
      <c r="C66" s="62">
        <f>Effektmåling!I44</f>
        <v>1</v>
      </c>
      <c r="D66" s="17"/>
      <c r="E66" s="17"/>
    </row>
    <row r="67" spans="2:5" x14ac:dyDescent="0.15">
      <c r="B67" s="17" t="s">
        <v>310</v>
      </c>
      <c r="C67" s="62">
        <f>IF(C64="over produktets levetid",C66,IF(C64="pr. år",C66*C65,"error"))</f>
        <v>1</v>
      </c>
      <c r="D67" s="17"/>
      <c r="E67" s="17"/>
    </row>
    <row r="69" spans="2:5" x14ac:dyDescent="0.15">
      <c r="B69" s="59" t="s">
        <v>311</v>
      </c>
      <c r="C69" s="17"/>
      <c r="D69" s="17"/>
      <c r="E69" s="17"/>
    </row>
    <row r="70" spans="2:5" x14ac:dyDescent="0.15">
      <c r="B70" s="911" t="s">
        <v>312</v>
      </c>
      <c r="C70" s="911"/>
      <c r="D70" s="911"/>
      <c r="E70" s="911"/>
    </row>
    <row r="71" spans="2:5" x14ac:dyDescent="0.15">
      <c r="B71" s="920" t="s">
        <v>411</v>
      </c>
      <c r="C71" s="920"/>
      <c r="D71" s="920"/>
      <c r="E71" s="920"/>
    </row>
    <row r="72" spans="2:5" x14ac:dyDescent="0.15">
      <c r="B72" s="909" t="s">
        <v>315</v>
      </c>
      <c r="C72" s="909"/>
      <c r="D72" s="909"/>
      <c r="E72" s="909"/>
    </row>
    <row r="73" spans="2:5" x14ac:dyDescent="0.15">
      <c r="B73" s="919" t="s">
        <v>320</v>
      </c>
      <c r="C73" s="919"/>
      <c r="D73" s="919"/>
      <c r="E73" s="919"/>
    </row>
    <row r="74" spans="2:5" x14ac:dyDescent="0.15">
      <c r="B74" s="918" t="s">
        <v>412</v>
      </c>
      <c r="C74" s="918"/>
      <c r="D74" s="918"/>
      <c r="E74" s="918"/>
    </row>
    <row r="75" spans="2:5" x14ac:dyDescent="0.15">
      <c r="B75" s="917" t="s">
        <v>413</v>
      </c>
      <c r="C75" s="917"/>
      <c r="D75" s="917"/>
      <c r="E75" s="917"/>
    </row>
  </sheetData>
  <sheetProtection algorithmName="SHA-512" hashValue="a6x4FTMSISgAOpkybQX/JxaAxhpm8FPCzKkP5AcVMw2UZXE7KQTZ4aXFtIbR70lKjQHGgrg1a37zEw6AY3GnJQ==" saltValue="iEqJcZYjN0SU/3EQcEYemg==" spinCount="100000" sheet="1" selectLockedCells="1" selectUnlockedCells="1"/>
  <mergeCells count="10">
    <mergeCell ref="AE2:AI2"/>
    <mergeCell ref="D2:F2"/>
    <mergeCell ref="I2:M2"/>
    <mergeCell ref="O2:S2"/>
    <mergeCell ref="B75:E75"/>
    <mergeCell ref="B74:E74"/>
    <mergeCell ref="B73:E73"/>
    <mergeCell ref="B72:E72"/>
    <mergeCell ref="B71:E71"/>
    <mergeCell ref="B70:E70"/>
  </mergeCells>
  <hyperlinks>
    <hyperlink ref="AK36" r:id="rId1" xr:uid="{00000000-0004-0000-0500-000000000000}"/>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B2:AE60"/>
  <sheetViews>
    <sheetView workbookViewId="0">
      <selection activeCell="L9" sqref="L9"/>
    </sheetView>
  </sheetViews>
  <sheetFormatPr defaultColWidth="8.75" defaultRowHeight="10.5" x14ac:dyDescent="0.15"/>
  <cols>
    <col min="1" max="1" width="4.75" style="19" customWidth="1"/>
    <col min="2" max="2" width="20.75" style="19" customWidth="1"/>
    <col min="3" max="3" width="4.75" style="19" customWidth="1"/>
    <col min="4" max="4" width="20.75" style="19" customWidth="1"/>
    <col min="5" max="5" width="4.75" style="19" customWidth="1"/>
    <col min="6" max="6" width="20.75" style="19" customWidth="1"/>
    <col min="7" max="7" width="4.75" style="19" customWidth="1"/>
    <col min="8" max="8" width="20.75" style="19" customWidth="1"/>
    <col min="9" max="9" width="4.75" style="19" customWidth="1"/>
    <col min="10" max="10" width="20.75" style="19" customWidth="1"/>
    <col min="11" max="11" width="4.75" style="19" customWidth="1"/>
    <col min="12" max="12" width="20.75" style="19" customWidth="1"/>
    <col min="13" max="16384" width="8.75" style="19"/>
  </cols>
  <sheetData>
    <row r="2" spans="2:14" x14ac:dyDescent="0.15">
      <c r="B2" s="17" t="s">
        <v>414</v>
      </c>
      <c r="D2" s="17" t="s">
        <v>24</v>
      </c>
      <c r="F2" s="17" t="s">
        <v>415</v>
      </c>
      <c r="H2" s="17" t="s">
        <v>416</v>
      </c>
      <c r="J2" s="17" t="s">
        <v>417</v>
      </c>
      <c r="L2" s="17" t="s">
        <v>192</v>
      </c>
      <c r="N2" s="17" t="s">
        <v>418</v>
      </c>
    </row>
    <row r="3" spans="2:14" x14ac:dyDescent="0.15">
      <c r="B3" s="63" t="s">
        <v>145</v>
      </c>
      <c r="D3" s="63" t="s">
        <v>145</v>
      </c>
      <c r="F3" s="61" t="s">
        <v>419</v>
      </c>
      <c r="H3" s="63" t="s">
        <v>145</v>
      </c>
      <c r="J3" s="61">
        <v>2015</v>
      </c>
      <c r="L3" s="63" t="s">
        <v>145</v>
      </c>
      <c r="N3" s="61" t="s">
        <v>198</v>
      </c>
    </row>
    <row r="4" spans="2:14" x14ac:dyDescent="0.15">
      <c r="B4" s="63" t="s">
        <v>144</v>
      </c>
      <c r="D4" s="64" t="s">
        <v>248</v>
      </c>
      <c r="F4" s="61" t="s">
        <v>183</v>
      </c>
      <c r="H4" s="61" t="s">
        <v>348</v>
      </c>
      <c r="J4" s="61">
        <v>2016</v>
      </c>
      <c r="L4" s="61" t="s">
        <v>420</v>
      </c>
      <c r="N4" s="61" t="s">
        <v>199</v>
      </c>
    </row>
    <row r="5" spans="2:14" x14ac:dyDescent="0.15">
      <c r="B5" s="65" t="s">
        <v>391</v>
      </c>
      <c r="D5" s="61" t="s">
        <v>249</v>
      </c>
      <c r="H5" s="61" t="s">
        <v>350</v>
      </c>
      <c r="J5" s="61">
        <v>2017</v>
      </c>
      <c r="L5" s="61" t="s">
        <v>421</v>
      </c>
    </row>
    <row r="6" spans="2:14" x14ac:dyDescent="0.15">
      <c r="B6" s="63" t="s">
        <v>392</v>
      </c>
      <c r="D6" s="61" t="s">
        <v>250</v>
      </c>
      <c r="H6" s="61" t="s">
        <v>352</v>
      </c>
      <c r="J6" s="61">
        <v>2018</v>
      </c>
      <c r="L6" s="61" t="s">
        <v>422</v>
      </c>
    </row>
    <row r="7" spans="2:14" x14ac:dyDescent="0.15">
      <c r="B7" s="63" t="s">
        <v>393</v>
      </c>
      <c r="D7" s="61" t="s">
        <v>251</v>
      </c>
      <c r="H7" s="61" t="s">
        <v>353</v>
      </c>
      <c r="J7" s="61">
        <v>2019</v>
      </c>
      <c r="L7" s="61" t="s">
        <v>423</v>
      </c>
    </row>
    <row r="8" spans="2:14" x14ac:dyDescent="0.15">
      <c r="B8" s="63" t="s">
        <v>394</v>
      </c>
      <c r="D8" s="61" t="s">
        <v>252</v>
      </c>
      <c r="H8" s="61" t="s">
        <v>354</v>
      </c>
      <c r="J8" s="61">
        <v>2020</v>
      </c>
      <c r="L8" s="61" t="s">
        <v>424</v>
      </c>
    </row>
    <row r="9" spans="2:14" x14ac:dyDescent="0.15">
      <c r="B9" s="63" t="s">
        <v>395</v>
      </c>
      <c r="D9" s="61" t="s">
        <v>253</v>
      </c>
      <c r="H9" s="61" t="s">
        <v>355</v>
      </c>
      <c r="J9" s="61" t="s">
        <v>425</v>
      </c>
      <c r="L9" s="61" t="s">
        <v>426</v>
      </c>
    </row>
    <row r="10" spans="2:14" x14ac:dyDescent="0.15">
      <c r="B10" s="63" t="s">
        <v>396</v>
      </c>
      <c r="D10" s="61" t="s">
        <v>254</v>
      </c>
      <c r="H10" s="61" t="s">
        <v>356</v>
      </c>
    </row>
    <row r="11" spans="2:14" x14ac:dyDescent="0.15">
      <c r="B11" s="63" t="s">
        <v>397</v>
      </c>
      <c r="D11" s="61" t="s">
        <v>255</v>
      </c>
      <c r="H11" s="61" t="s">
        <v>357</v>
      </c>
    </row>
    <row r="12" spans="2:14" x14ac:dyDescent="0.15">
      <c r="B12" s="63" t="s">
        <v>398</v>
      </c>
      <c r="D12" s="61" t="s">
        <v>256</v>
      </c>
      <c r="H12" s="61" t="s">
        <v>358</v>
      </c>
    </row>
    <row r="13" spans="2:14" x14ac:dyDescent="0.15">
      <c r="B13" s="63" t="s">
        <v>399</v>
      </c>
      <c r="D13" s="64" t="s">
        <v>257</v>
      </c>
      <c r="H13" s="61" t="s">
        <v>360</v>
      </c>
    </row>
    <row r="14" spans="2:14" x14ac:dyDescent="0.15">
      <c r="B14" s="63" t="s">
        <v>400</v>
      </c>
      <c r="D14" s="61" t="s">
        <v>258</v>
      </c>
      <c r="H14" s="61" t="s">
        <v>361</v>
      </c>
    </row>
    <row r="15" spans="2:14" x14ac:dyDescent="0.15">
      <c r="B15" s="63" t="s">
        <v>401</v>
      </c>
      <c r="D15" s="61" t="s">
        <v>259</v>
      </c>
      <c r="H15" s="61" t="s">
        <v>362</v>
      </c>
    </row>
    <row r="16" spans="2:14" x14ac:dyDescent="0.15">
      <c r="B16" s="63" t="s">
        <v>402</v>
      </c>
      <c r="D16" s="61" t="s">
        <v>260</v>
      </c>
      <c r="H16" s="61" t="s">
        <v>363</v>
      </c>
    </row>
    <row r="17" spans="2:12" x14ac:dyDescent="0.15">
      <c r="B17" s="63" t="s">
        <v>403</v>
      </c>
      <c r="D17" s="61" t="s">
        <v>261</v>
      </c>
      <c r="H17" s="61" t="s">
        <v>365</v>
      </c>
    </row>
    <row r="18" spans="2:12" x14ac:dyDescent="0.15">
      <c r="B18" s="63" t="s">
        <v>404</v>
      </c>
      <c r="D18" s="64" t="s">
        <v>262</v>
      </c>
      <c r="H18" s="61" t="s">
        <v>366</v>
      </c>
    </row>
    <row r="19" spans="2:12" x14ac:dyDescent="0.15">
      <c r="B19" s="65" t="s">
        <v>406</v>
      </c>
      <c r="D19" s="64" t="s">
        <v>263</v>
      </c>
      <c r="H19" s="61" t="s">
        <v>367</v>
      </c>
    </row>
    <row r="20" spans="2:12" x14ac:dyDescent="0.15">
      <c r="B20" s="63" t="s">
        <v>407</v>
      </c>
      <c r="D20" s="64" t="s">
        <v>264</v>
      </c>
      <c r="H20" s="61" t="s">
        <v>368</v>
      </c>
      <c r="L20" s="49"/>
    </row>
    <row r="21" spans="2:12" x14ac:dyDescent="0.15">
      <c r="B21" s="63" t="s">
        <v>408</v>
      </c>
      <c r="D21" s="64" t="s">
        <v>265</v>
      </c>
      <c r="H21" s="61" t="s">
        <v>369</v>
      </c>
      <c r="L21" s="49"/>
    </row>
    <row r="22" spans="2:12" x14ac:dyDescent="0.15">
      <c r="B22" s="63" t="s">
        <v>409</v>
      </c>
      <c r="D22" s="64" t="s">
        <v>266</v>
      </c>
      <c r="H22" s="61" t="s">
        <v>370</v>
      </c>
      <c r="L22" s="49"/>
    </row>
    <row r="23" spans="2:12" ht="11.25" x14ac:dyDescent="0.15">
      <c r="D23" s="64" t="s">
        <v>267</v>
      </c>
      <c r="H23" s="61" t="s">
        <v>427</v>
      </c>
      <c r="L23" s="49"/>
    </row>
    <row r="24" spans="2:12" x14ac:dyDescent="0.15">
      <c r="D24" s="64" t="s">
        <v>268</v>
      </c>
      <c r="H24" s="61" t="s">
        <v>373</v>
      </c>
      <c r="L24" s="49"/>
    </row>
    <row r="25" spans="2:12" x14ac:dyDescent="0.15">
      <c r="D25" s="64" t="s">
        <v>269</v>
      </c>
      <c r="H25" s="61" t="s">
        <v>374</v>
      </c>
      <c r="L25" s="49"/>
    </row>
    <row r="26" spans="2:12" x14ac:dyDescent="0.15">
      <c r="D26" s="64" t="s">
        <v>270</v>
      </c>
      <c r="H26" s="61" t="s">
        <v>375</v>
      </c>
      <c r="L26" s="49"/>
    </row>
    <row r="27" spans="2:12" x14ac:dyDescent="0.15">
      <c r="D27" s="64" t="s">
        <v>271</v>
      </c>
      <c r="H27" s="61" t="s">
        <v>376</v>
      </c>
      <c r="L27" s="49"/>
    </row>
    <row r="28" spans="2:12" x14ac:dyDescent="0.15">
      <c r="D28" s="64" t="s">
        <v>272</v>
      </c>
      <c r="H28" s="61" t="s">
        <v>377</v>
      </c>
      <c r="L28" s="49"/>
    </row>
    <row r="29" spans="2:12" ht="11.25" x14ac:dyDescent="0.15">
      <c r="D29" s="64" t="s">
        <v>273</v>
      </c>
      <c r="H29" s="61" t="s">
        <v>428</v>
      </c>
      <c r="L29" s="49"/>
    </row>
    <row r="30" spans="2:12" x14ac:dyDescent="0.15">
      <c r="D30" s="64" t="s">
        <v>274</v>
      </c>
      <c r="H30" s="61" t="s">
        <v>379</v>
      </c>
      <c r="L30" s="49"/>
    </row>
    <row r="31" spans="2:12" x14ac:dyDescent="0.15">
      <c r="D31" s="64" t="s">
        <v>275</v>
      </c>
      <c r="H31" s="61" t="s">
        <v>380</v>
      </c>
      <c r="L31" s="49"/>
    </row>
    <row r="32" spans="2:12" x14ac:dyDescent="0.15">
      <c r="D32" s="64" t="s">
        <v>277</v>
      </c>
      <c r="H32" s="64" t="s">
        <v>381</v>
      </c>
    </row>
    <row r="33" spans="4:8" x14ac:dyDescent="0.15">
      <c r="D33" s="64" t="s">
        <v>278</v>
      </c>
      <c r="H33" s="61" t="s">
        <v>382</v>
      </c>
    </row>
    <row r="34" spans="4:8" x14ac:dyDescent="0.15">
      <c r="D34" s="483" t="s">
        <v>598</v>
      </c>
      <c r="H34" s="61" t="s">
        <v>384</v>
      </c>
    </row>
    <row r="35" spans="4:8" x14ac:dyDescent="0.15">
      <c r="D35" s="64" t="s">
        <v>279</v>
      </c>
      <c r="H35" s="61" t="s">
        <v>385</v>
      </c>
    </row>
    <row r="36" spans="4:8" x14ac:dyDescent="0.15">
      <c r="D36" s="61" t="s">
        <v>280</v>
      </c>
      <c r="H36" s="61" t="s">
        <v>348</v>
      </c>
    </row>
    <row r="37" spans="4:8" x14ac:dyDescent="0.15">
      <c r="D37" s="61" t="s">
        <v>281</v>
      </c>
    </row>
    <row r="38" spans="4:8" s="474" customFormat="1" x14ac:dyDescent="0.15">
      <c r="D38" s="482" t="s">
        <v>597</v>
      </c>
    </row>
    <row r="39" spans="4:8" x14ac:dyDescent="0.15">
      <c r="D39" s="61" t="s">
        <v>282</v>
      </c>
    </row>
    <row r="40" spans="4:8" x14ac:dyDescent="0.15">
      <c r="D40" s="64" t="s">
        <v>283</v>
      </c>
    </row>
    <row r="41" spans="4:8" x14ac:dyDescent="0.15">
      <c r="D41" s="61" t="s">
        <v>284</v>
      </c>
    </row>
    <row r="42" spans="4:8" x14ac:dyDescent="0.15">
      <c r="D42" s="61" t="s">
        <v>285</v>
      </c>
    </row>
    <row r="43" spans="4:8" x14ac:dyDescent="0.15">
      <c r="D43" s="61" t="s">
        <v>286</v>
      </c>
    </row>
    <row r="44" spans="4:8" x14ac:dyDescent="0.15">
      <c r="D44" s="61" t="s">
        <v>287</v>
      </c>
    </row>
    <row r="45" spans="4:8" x14ac:dyDescent="0.15">
      <c r="D45" s="61" t="s">
        <v>288</v>
      </c>
    </row>
    <row r="46" spans="4:8" x14ac:dyDescent="0.15">
      <c r="D46" s="61" t="s">
        <v>289</v>
      </c>
    </row>
    <row r="47" spans="4:8" x14ac:dyDescent="0.15">
      <c r="D47" s="61" t="s">
        <v>290</v>
      </c>
    </row>
    <row r="48" spans="4:8" x14ac:dyDescent="0.15">
      <c r="D48" s="61" t="s">
        <v>291</v>
      </c>
    </row>
    <row r="49" spans="4:31" x14ac:dyDescent="0.15">
      <c r="D49" s="61" t="s">
        <v>292</v>
      </c>
    </row>
    <row r="50" spans="4:31" x14ac:dyDescent="0.15">
      <c r="D50" s="61" t="s">
        <v>293</v>
      </c>
    </row>
    <row r="51" spans="4:31" x14ac:dyDescent="0.15">
      <c r="D51" s="64" t="s">
        <v>294</v>
      </c>
    </row>
    <row r="52" spans="4:31" x14ac:dyDescent="0.15">
      <c r="D52" s="61" t="str">
        <f>'Egne Materialer'!D12</f>
        <v>Materiale 1</v>
      </c>
    </row>
    <row r="53" spans="4:31" x14ac:dyDescent="0.15">
      <c r="D53" s="61" t="str">
        <f>'Egne Materialer'!D27:E27</f>
        <v>Materiale 2</v>
      </c>
    </row>
    <row r="54" spans="4:31" x14ac:dyDescent="0.15">
      <c r="D54" s="61" t="str">
        <f>'Egne Materialer'!D42:E42</f>
        <v>Materiale 3</v>
      </c>
      <c r="AB54" s="17"/>
      <c r="AC54" s="17"/>
      <c r="AD54" s="17"/>
    </row>
    <row r="55" spans="4:31" x14ac:dyDescent="0.15">
      <c r="Y55" s="905"/>
      <c r="Z55" s="905"/>
      <c r="AA55" s="66" t="s">
        <v>306</v>
      </c>
      <c r="AB55" s="17" t="s">
        <v>307</v>
      </c>
      <c r="AC55" s="17"/>
      <c r="AD55" s="17"/>
    </row>
    <row r="56" spans="4:31" x14ac:dyDescent="0.15">
      <c r="AB56" s="19" t="e">
        <f>MATCH(Effektmåling!D178,$B$5:$B$52,0)</f>
        <v>#N/A</v>
      </c>
      <c r="AC56" s="19" t="e">
        <f ca="1">INDIRECT(CONCATENATE("R",4+AB56,"C",24+(7-AA56)),FALSE)</f>
        <v>#N/A</v>
      </c>
      <c r="AD56" s="19" t="e">
        <f ca="1">RANK(AC56,$AC$56:$AC$60,0)</f>
        <v>#N/A</v>
      </c>
      <c r="AE56" s="19" t="e">
        <f ca="1">RANK(AC56,$AC$56:$AC$60,0)+COUNTIF($AC$56:AC56,AC56)-1</f>
        <v>#N/A</v>
      </c>
    </row>
    <row r="57" spans="4:31" x14ac:dyDescent="0.15">
      <c r="AB57" s="19" t="e">
        <f>MATCH(Effektmåling!D179,$B$5:$B$52,0)</f>
        <v>#N/A</v>
      </c>
      <c r="AC57" s="19" t="e">
        <f ca="1">INDIRECT(CONCATENATE("R",4+AB57,"C",24+(7-AA57)),FALSE)</f>
        <v>#N/A</v>
      </c>
      <c r="AD57" s="19" t="e">
        <f ca="1">RANK(AC57,$AC$56:$AC$60,0)</f>
        <v>#N/A</v>
      </c>
      <c r="AE57" s="19" t="e">
        <f ca="1">RANK(AC57,$AC$56:$AC$60,0)+COUNTIF($AC$56:AC57,AC57)-1</f>
        <v>#N/A</v>
      </c>
    </row>
    <row r="58" spans="4:31" x14ac:dyDescent="0.15">
      <c r="AB58" s="19" t="e">
        <f>MATCH(Effektmåling!D180,$B$5:$B$52,0)</f>
        <v>#N/A</v>
      </c>
      <c r="AC58" s="19" t="e">
        <f ca="1">INDIRECT(CONCATENATE("R",4+AB58,"C",24+(7-AA58)),FALSE)</f>
        <v>#N/A</v>
      </c>
      <c r="AD58" s="19" t="e">
        <f ca="1">RANK(AC58,$AC$56:$AC$60,0)</f>
        <v>#N/A</v>
      </c>
      <c r="AE58" s="19" t="e">
        <f ca="1">RANK(AC58,$AC$56:$AC$60,0)+COUNTIF($AC$56:AC58,AC58)-1</f>
        <v>#N/A</v>
      </c>
    </row>
    <row r="59" spans="4:31" x14ac:dyDescent="0.15">
      <c r="AB59" s="19" t="e">
        <f>MATCH(Effektmåling!D181,$B$5:$B$52,0)</f>
        <v>#N/A</v>
      </c>
      <c r="AC59" s="19" t="e">
        <f ca="1">INDIRECT(CONCATENATE("R",4+AB59,"C",24+(7-AA59)),FALSE)</f>
        <v>#N/A</v>
      </c>
      <c r="AD59" s="19" t="e">
        <f ca="1">RANK(AC59,$AC$56:$AC$60,0)</f>
        <v>#N/A</v>
      </c>
      <c r="AE59" s="19" t="e">
        <f ca="1">RANK(AC59,$AC$56:$AC$60,0)+COUNTIF($AC$56:AC59,AC59)-1</f>
        <v>#N/A</v>
      </c>
    </row>
    <row r="60" spans="4:31" x14ac:dyDescent="0.15">
      <c r="AB60" s="17" t="e">
        <f>MATCH(Effektmåling!D182,$B$5:$B$52,0)</f>
        <v>#N/A</v>
      </c>
      <c r="AC60" s="17" t="e">
        <f ca="1">INDIRECT(CONCATENATE("R",4+AB60,"C",24+(7-AA60)),FALSE)</f>
        <v>#N/A</v>
      </c>
      <c r="AD60" s="17" t="e">
        <f ca="1">RANK(AC60,$AC$56:$AC$60,0)</f>
        <v>#N/A</v>
      </c>
      <c r="AE60" s="19" t="e">
        <f ca="1">RANK(AC60,$AC$56:$AC$60,0)+COUNTIF($AC$56:AC60,AC60)-1</f>
        <v>#N/A</v>
      </c>
    </row>
  </sheetData>
  <sheetProtection selectLockedCells="1"/>
  <sortState xmlns:xlrd2="http://schemas.microsoft.com/office/spreadsheetml/2017/richdata2" ref="D23:D31">
    <sortCondition ref="D31"/>
  </sortState>
  <mergeCells count="1">
    <mergeCell ref="Y55:Z55"/>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4"/>
  <dimension ref="A1:I87"/>
  <sheetViews>
    <sheetView topLeftCell="C10" workbookViewId="0">
      <selection activeCell="H2" sqref="H2:I25"/>
    </sheetView>
  </sheetViews>
  <sheetFormatPr defaultColWidth="8.75" defaultRowHeight="11.25" x14ac:dyDescent="0.15"/>
  <cols>
    <col min="1" max="1" width="18.75" bestFit="1" customWidth="1"/>
    <col min="2" max="2" width="17.125" bestFit="1" customWidth="1"/>
    <col min="3" max="3" width="8" bestFit="1" customWidth="1"/>
    <col min="6" max="6" width="21.75" bestFit="1" customWidth="1"/>
  </cols>
  <sheetData>
    <row r="1" spans="1:9" ht="45" x14ac:dyDescent="0.2">
      <c r="A1" s="185" t="s">
        <v>429</v>
      </c>
      <c r="B1" s="185" t="s">
        <v>430</v>
      </c>
      <c r="C1" s="185" t="s">
        <v>431</v>
      </c>
      <c r="F1" s="189" t="s">
        <v>176</v>
      </c>
      <c r="G1" t="str">
        <f>C1</f>
        <v>100-yr  </v>
      </c>
    </row>
    <row r="2" spans="1:9" x14ac:dyDescent="0.15">
      <c r="A2" s="186" t="s">
        <v>432</v>
      </c>
      <c r="B2" s="190" t="s">
        <v>433</v>
      </c>
      <c r="C2" s="186">
        <v>1</v>
      </c>
      <c r="F2" s="183" t="s">
        <v>434</v>
      </c>
      <c r="G2" s="453">
        <f>C2</f>
        <v>1</v>
      </c>
      <c r="H2" s="452"/>
      <c r="I2" s="191"/>
    </row>
    <row r="3" spans="1:9" ht="12.75" x14ac:dyDescent="0.15">
      <c r="A3" s="186" t="s">
        <v>435</v>
      </c>
      <c r="B3" s="188" t="s">
        <v>436</v>
      </c>
      <c r="C3" s="186">
        <v>25</v>
      </c>
      <c r="F3" s="183" t="s">
        <v>437</v>
      </c>
      <c r="G3" s="453">
        <v>28</v>
      </c>
      <c r="H3" s="452"/>
      <c r="I3" s="191"/>
    </row>
    <row r="4" spans="1:9" x14ac:dyDescent="0.15">
      <c r="A4" s="186" t="s">
        <v>438</v>
      </c>
      <c r="B4" s="188" t="s">
        <v>439</v>
      </c>
      <c r="C4" s="186">
        <v>298</v>
      </c>
      <c r="F4" s="183" t="s">
        <v>440</v>
      </c>
      <c r="G4" s="453">
        <v>265</v>
      </c>
      <c r="H4" s="452"/>
      <c r="I4" s="191"/>
    </row>
    <row r="5" spans="1:9" ht="37.5" customHeight="1" x14ac:dyDescent="0.15">
      <c r="A5" s="187" t="s">
        <v>441</v>
      </c>
      <c r="B5" s="187"/>
      <c r="C5" s="187"/>
      <c r="F5" s="183" t="s">
        <v>442</v>
      </c>
      <c r="G5" s="453">
        <f>C26</f>
        <v>14800</v>
      </c>
      <c r="H5" s="452"/>
      <c r="I5" s="191"/>
    </row>
    <row r="6" spans="1:9" x14ac:dyDescent="0.15">
      <c r="A6" s="186" t="s">
        <v>443</v>
      </c>
      <c r="B6" s="188" t="s">
        <v>444</v>
      </c>
      <c r="C6" s="194">
        <v>4750</v>
      </c>
      <c r="F6" s="183" t="s">
        <v>445</v>
      </c>
      <c r="G6" s="453">
        <f>C27</f>
        <v>675</v>
      </c>
      <c r="H6" s="452"/>
      <c r="I6" s="191"/>
    </row>
    <row r="7" spans="1:9" x14ac:dyDescent="0.15">
      <c r="A7" s="186" t="s">
        <v>446</v>
      </c>
      <c r="B7" s="188" t="s">
        <v>447</v>
      </c>
      <c r="C7" s="194">
        <v>10900</v>
      </c>
      <c r="F7" s="183" t="s">
        <v>448</v>
      </c>
      <c r="G7" s="4">
        <v>150</v>
      </c>
      <c r="H7" s="452"/>
      <c r="I7" s="191"/>
    </row>
    <row r="8" spans="1:9" ht="22.5" x14ac:dyDescent="0.15">
      <c r="A8" s="186" t="s">
        <v>449</v>
      </c>
      <c r="B8" s="188" t="s">
        <v>450</v>
      </c>
      <c r="C8" s="194">
        <v>14400</v>
      </c>
      <c r="F8" s="183" t="s">
        <v>451</v>
      </c>
      <c r="G8">
        <v>1640</v>
      </c>
      <c r="H8" s="452"/>
      <c r="I8" s="191"/>
    </row>
    <row r="9" spans="1:9" x14ac:dyDescent="0.15">
      <c r="A9" s="186" t="s">
        <v>452</v>
      </c>
      <c r="B9" s="188" t="s">
        <v>453</v>
      </c>
      <c r="C9" s="194">
        <v>6130</v>
      </c>
      <c r="F9" s="183" t="s">
        <v>454</v>
      </c>
      <c r="G9">
        <v>3500</v>
      </c>
      <c r="H9" s="452"/>
      <c r="I9" s="191"/>
    </row>
    <row r="10" spans="1:9" x14ac:dyDescent="0.15">
      <c r="A10" s="186" t="s">
        <v>455</v>
      </c>
      <c r="B10" s="188" t="s">
        <v>456</v>
      </c>
      <c r="C10" s="194">
        <v>10000</v>
      </c>
      <c r="F10" s="183" t="s">
        <v>457</v>
      </c>
      <c r="G10">
        <v>1000</v>
      </c>
      <c r="H10" s="452"/>
      <c r="I10" s="191"/>
    </row>
    <row r="11" spans="1:9" x14ac:dyDescent="0.15">
      <c r="A11" s="186" t="s">
        <v>458</v>
      </c>
      <c r="B11" s="188" t="s">
        <v>459</v>
      </c>
      <c r="C11" s="194">
        <v>7370</v>
      </c>
      <c r="F11" s="183" t="s">
        <v>460</v>
      </c>
      <c r="G11">
        <v>1300</v>
      </c>
      <c r="H11" s="452"/>
      <c r="I11" s="191"/>
    </row>
    <row r="12" spans="1:9" x14ac:dyDescent="0.15">
      <c r="A12" s="186" t="s">
        <v>461</v>
      </c>
      <c r="B12" s="188" t="s">
        <v>462</v>
      </c>
      <c r="C12" s="194">
        <v>7140</v>
      </c>
      <c r="F12" s="183" t="s">
        <v>463</v>
      </c>
      <c r="G12">
        <v>124</v>
      </c>
      <c r="H12" s="452"/>
      <c r="I12" s="191"/>
    </row>
    <row r="13" spans="1:9" x14ac:dyDescent="0.15">
      <c r="A13" s="186" t="s">
        <v>464</v>
      </c>
      <c r="B13" s="188" t="s">
        <v>465</v>
      </c>
      <c r="C13" s="194">
        <v>1890</v>
      </c>
      <c r="F13" s="183" t="s">
        <v>466</v>
      </c>
      <c r="G13">
        <v>300</v>
      </c>
      <c r="H13" s="452"/>
      <c r="I13" s="191"/>
    </row>
    <row r="14" spans="1:9" x14ac:dyDescent="0.15">
      <c r="A14" s="186" t="s">
        <v>467</v>
      </c>
      <c r="B14" s="188" t="s">
        <v>468</v>
      </c>
      <c r="C14" s="194">
        <v>1640</v>
      </c>
      <c r="F14" s="183" t="s">
        <v>469</v>
      </c>
      <c r="G14">
        <v>4470</v>
      </c>
      <c r="H14" s="452"/>
      <c r="I14" s="191"/>
    </row>
    <row r="15" spans="1:9" x14ac:dyDescent="0.15">
      <c r="A15" s="186" t="s">
        <v>470</v>
      </c>
      <c r="B15" s="188" t="s">
        <v>471</v>
      </c>
      <c r="C15" s="194">
        <v>1400</v>
      </c>
      <c r="F15" s="183" t="s">
        <v>472</v>
      </c>
      <c r="G15">
        <v>3220</v>
      </c>
      <c r="H15" s="452"/>
      <c r="I15" s="191"/>
    </row>
    <row r="16" spans="1:9" x14ac:dyDescent="0.15">
      <c r="A16" s="186" t="s">
        <v>473</v>
      </c>
      <c r="B16" s="188" t="s">
        <v>474</v>
      </c>
      <c r="C16" s="186">
        <v>5</v>
      </c>
      <c r="F16" s="183" t="s">
        <v>475</v>
      </c>
      <c r="G16">
        <v>9810</v>
      </c>
      <c r="H16" s="452"/>
      <c r="I16" s="191"/>
    </row>
    <row r="17" spans="1:9" x14ac:dyDescent="0.15">
      <c r="A17" s="186" t="s">
        <v>476</v>
      </c>
      <c r="B17" s="188" t="s">
        <v>477</v>
      </c>
      <c r="C17" s="186">
        <v>146</v>
      </c>
      <c r="F17" s="183" t="s">
        <v>478</v>
      </c>
      <c r="G17">
        <v>560</v>
      </c>
      <c r="H17" s="452"/>
      <c r="I17" s="191"/>
    </row>
    <row r="18" spans="1:9" x14ac:dyDescent="0.15">
      <c r="A18" s="186" t="s">
        <v>479</v>
      </c>
      <c r="B18" s="188" t="s">
        <v>480</v>
      </c>
      <c r="C18" s="194">
        <v>1810</v>
      </c>
      <c r="F18" s="183" t="s">
        <v>481</v>
      </c>
      <c r="G18">
        <f>C40</f>
        <v>7390</v>
      </c>
      <c r="H18" s="452"/>
      <c r="I18" s="191"/>
    </row>
    <row r="19" spans="1:9" x14ac:dyDescent="0.15">
      <c r="A19" s="186" t="s">
        <v>482</v>
      </c>
      <c r="B19" s="188" t="s">
        <v>483</v>
      </c>
      <c r="C19" s="186">
        <v>77</v>
      </c>
      <c r="F19" s="183" t="s">
        <v>484</v>
      </c>
      <c r="G19">
        <f>C41</f>
        <v>12200</v>
      </c>
      <c r="H19" s="452"/>
      <c r="I19" s="191"/>
    </row>
    <row r="20" spans="1:9" x14ac:dyDescent="0.15">
      <c r="A20" s="186" t="s">
        <v>485</v>
      </c>
      <c r="B20" s="188" t="s">
        <v>486</v>
      </c>
      <c r="C20" s="186">
        <v>609</v>
      </c>
      <c r="F20" s="183" t="s">
        <v>487</v>
      </c>
      <c r="G20">
        <v>8830</v>
      </c>
      <c r="H20" s="452"/>
      <c r="I20" s="191"/>
    </row>
    <row r="21" spans="1:9" x14ac:dyDescent="0.15">
      <c r="A21" s="186" t="s">
        <v>488</v>
      </c>
      <c r="B21" s="188" t="s">
        <v>489</v>
      </c>
      <c r="C21" s="186">
        <v>725</v>
      </c>
      <c r="F21" s="183" t="s">
        <v>490</v>
      </c>
      <c r="G21">
        <v>8860</v>
      </c>
      <c r="H21" s="452"/>
      <c r="I21" s="191"/>
    </row>
    <row r="22" spans="1:9" ht="22.5" x14ac:dyDescent="0.15">
      <c r="A22" s="186" t="s">
        <v>491</v>
      </c>
      <c r="B22" s="188" t="s">
        <v>492</v>
      </c>
      <c r="C22" s="194">
        <v>2310</v>
      </c>
      <c r="F22" s="183" t="s">
        <v>493</v>
      </c>
      <c r="G22">
        <v>10300</v>
      </c>
      <c r="H22" s="452"/>
      <c r="I22" s="191"/>
    </row>
    <row r="23" spans="1:9" x14ac:dyDescent="0.15">
      <c r="A23" s="186" t="s">
        <v>494</v>
      </c>
      <c r="B23" s="188" t="s">
        <v>495</v>
      </c>
      <c r="C23" s="186">
        <v>122</v>
      </c>
      <c r="F23" s="183" t="s">
        <v>496</v>
      </c>
      <c r="G23">
        <v>9160</v>
      </c>
      <c r="H23" s="452"/>
      <c r="I23" s="191"/>
    </row>
    <row r="24" spans="1:9" x14ac:dyDescent="0.15">
      <c r="A24" s="186" t="s">
        <v>497</v>
      </c>
      <c r="B24" s="188" t="s">
        <v>498</v>
      </c>
      <c r="C24" s="186">
        <v>595</v>
      </c>
      <c r="F24" s="183" t="s">
        <v>499</v>
      </c>
      <c r="G24">
        <v>9300</v>
      </c>
      <c r="H24" s="452"/>
      <c r="I24" s="191"/>
    </row>
    <row r="25" spans="1:9" x14ac:dyDescent="0.15">
      <c r="A25" s="187" t="s">
        <v>500</v>
      </c>
      <c r="B25" s="187"/>
      <c r="C25" s="187"/>
      <c r="F25" s="183" t="s">
        <v>501</v>
      </c>
      <c r="G25">
        <v>23500</v>
      </c>
      <c r="H25" s="452"/>
      <c r="I25" s="191"/>
    </row>
    <row r="26" spans="1:9" x14ac:dyDescent="0.15">
      <c r="A26" s="186" t="s">
        <v>502</v>
      </c>
      <c r="B26" s="188" t="s">
        <v>503</v>
      </c>
      <c r="C26" s="194">
        <v>14800</v>
      </c>
    </row>
    <row r="27" spans="1:9" x14ac:dyDescent="0.15">
      <c r="A27" s="186" t="s">
        <v>504</v>
      </c>
      <c r="B27" s="188" t="s">
        <v>505</v>
      </c>
      <c r="C27" s="186">
        <v>675</v>
      </c>
    </row>
    <row r="28" spans="1:9" x14ac:dyDescent="0.15">
      <c r="A28" s="186" t="s">
        <v>506</v>
      </c>
      <c r="B28" s="188" t="s">
        <v>507</v>
      </c>
      <c r="C28" s="194">
        <v>3500</v>
      </c>
      <c r="F28" s="193" t="s">
        <v>508</v>
      </c>
      <c r="G28" s="922" t="s">
        <v>509</v>
      </c>
      <c r="H28" s="922"/>
      <c r="I28" s="922"/>
    </row>
    <row r="29" spans="1:9" x14ac:dyDescent="0.15">
      <c r="A29" s="186" t="s">
        <v>510</v>
      </c>
      <c r="B29" s="188" t="s">
        <v>511</v>
      </c>
      <c r="C29" s="194">
        <v>1430</v>
      </c>
      <c r="G29" t="s">
        <v>512</v>
      </c>
    </row>
    <row r="30" spans="1:9" x14ac:dyDescent="0.15">
      <c r="A30" s="186" t="s">
        <v>513</v>
      </c>
      <c r="B30" s="188" t="s">
        <v>514</v>
      </c>
      <c r="C30" s="194">
        <v>4470</v>
      </c>
    </row>
    <row r="31" spans="1:9" x14ac:dyDescent="0.15">
      <c r="A31" s="186" t="s">
        <v>515</v>
      </c>
      <c r="B31" s="188" t="s">
        <v>516</v>
      </c>
      <c r="C31" s="186">
        <v>124</v>
      </c>
    </row>
    <row r="32" spans="1:9" x14ac:dyDescent="0.15">
      <c r="A32" s="186" t="s">
        <v>517</v>
      </c>
      <c r="B32" s="188" t="s">
        <v>518</v>
      </c>
      <c r="C32" s="194">
        <v>3220</v>
      </c>
    </row>
    <row r="33" spans="1:3" x14ac:dyDescent="0.15">
      <c r="A33" s="186" t="s">
        <v>519</v>
      </c>
      <c r="B33" s="188" t="s">
        <v>520</v>
      </c>
      <c r="C33" s="194">
        <v>9810</v>
      </c>
    </row>
    <row r="34" spans="1:3" x14ac:dyDescent="0.15">
      <c r="A34" s="186" t="s">
        <v>521</v>
      </c>
      <c r="B34" s="188" t="s">
        <v>522</v>
      </c>
      <c r="C34" s="186">
        <v>1030</v>
      </c>
    </row>
    <row r="35" spans="1:3" x14ac:dyDescent="0.15">
      <c r="A35" s="186" t="s">
        <v>523</v>
      </c>
      <c r="B35" s="188" t="s">
        <v>524</v>
      </c>
      <c r="C35" s="186">
        <v>794</v>
      </c>
    </row>
    <row r="36" spans="1:3" ht="22.5" x14ac:dyDescent="0.15">
      <c r="A36" s="186" t="s">
        <v>525</v>
      </c>
      <c r="B36" s="188" t="s">
        <v>526</v>
      </c>
      <c r="C36" s="194">
        <v>1640</v>
      </c>
    </row>
    <row r="37" spans="1:3" ht="11.25" customHeight="1" x14ac:dyDescent="0.15">
      <c r="A37" s="186" t="s">
        <v>527</v>
      </c>
      <c r="B37" s="188"/>
      <c r="C37" s="186"/>
    </row>
    <row r="38" spans="1:3" x14ac:dyDescent="0.15">
      <c r="A38" s="186" t="s">
        <v>528</v>
      </c>
      <c r="B38" s="188" t="s">
        <v>529</v>
      </c>
      <c r="C38" s="194">
        <v>22800</v>
      </c>
    </row>
    <row r="39" spans="1:3" x14ac:dyDescent="0.15">
      <c r="A39" s="186" t="s">
        <v>530</v>
      </c>
      <c r="B39" s="188" t="s">
        <v>531</v>
      </c>
      <c r="C39" s="194">
        <v>17200</v>
      </c>
    </row>
    <row r="40" spans="1:3" x14ac:dyDescent="0.15">
      <c r="A40" s="186" t="s">
        <v>532</v>
      </c>
      <c r="B40" s="188" t="s">
        <v>533</v>
      </c>
      <c r="C40" s="194">
        <v>7390</v>
      </c>
    </row>
    <row r="41" spans="1:3" x14ac:dyDescent="0.15">
      <c r="A41" s="186" t="s">
        <v>534</v>
      </c>
      <c r="B41" s="188" t="s">
        <v>535</v>
      </c>
      <c r="C41" s="194">
        <v>12200</v>
      </c>
    </row>
    <row r="42" spans="1:3" x14ac:dyDescent="0.15">
      <c r="B42" s="174"/>
    </row>
    <row r="43" spans="1:3" x14ac:dyDescent="0.15">
      <c r="A43" t="s">
        <v>536</v>
      </c>
      <c r="B43" s="174"/>
    </row>
    <row r="44" spans="1:3" x14ac:dyDescent="0.15">
      <c r="B44" s="174"/>
    </row>
    <row r="45" spans="1:3" x14ac:dyDescent="0.15">
      <c r="A45" s="185"/>
      <c r="B45" s="185"/>
      <c r="C45" s="185"/>
    </row>
    <row r="46" spans="1:3" ht="45" x14ac:dyDescent="0.15">
      <c r="A46" s="185" t="s">
        <v>429</v>
      </c>
      <c r="B46" s="192" t="s">
        <v>430</v>
      </c>
      <c r="C46" s="185" t="s">
        <v>431</v>
      </c>
    </row>
    <row r="47" spans="1:3" ht="11.25" customHeight="1" x14ac:dyDescent="0.15">
      <c r="A47" s="186" t="s">
        <v>537</v>
      </c>
      <c r="B47" s="188"/>
      <c r="C47" s="186"/>
    </row>
    <row r="48" spans="1:3" x14ac:dyDescent="0.15">
      <c r="A48" s="186" t="s">
        <v>538</v>
      </c>
      <c r="B48" s="188"/>
      <c r="C48" s="194">
        <v>8830</v>
      </c>
    </row>
    <row r="49" spans="1:3" x14ac:dyDescent="0.15">
      <c r="A49" s="186" t="s">
        <v>539</v>
      </c>
      <c r="B49" s="188"/>
      <c r="C49" s="194">
        <v>10300</v>
      </c>
    </row>
    <row r="50" spans="1:3" x14ac:dyDescent="0.15">
      <c r="A50" s="186" t="s">
        <v>540</v>
      </c>
      <c r="B50" s="188"/>
      <c r="C50" s="194">
        <v>8860</v>
      </c>
    </row>
    <row r="51" spans="1:3" x14ac:dyDescent="0.15">
      <c r="A51" s="186" t="s">
        <v>541</v>
      </c>
      <c r="B51" s="188"/>
      <c r="C51" s="194">
        <v>9160</v>
      </c>
    </row>
    <row r="52" spans="1:3" x14ac:dyDescent="0.15">
      <c r="A52" s="186" t="s">
        <v>542</v>
      </c>
      <c r="B52" s="188"/>
      <c r="C52" s="194">
        <v>9300</v>
      </c>
    </row>
    <row r="53" spans="1:3" x14ac:dyDescent="0.15">
      <c r="A53" s="186" t="s">
        <v>543</v>
      </c>
      <c r="B53" s="195" t="s">
        <v>544</v>
      </c>
      <c r="C53" s="194">
        <v>7500</v>
      </c>
    </row>
    <row r="54" spans="1:3" ht="22.5" x14ac:dyDescent="0.15">
      <c r="A54" s="186" t="s">
        <v>545</v>
      </c>
      <c r="B54" s="188"/>
      <c r="C54" s="194">
        <v>17700</v>
      </c>
    </row>
    <row r="55" spans="1:3" x14ac:dyDescent="0.15">
      <c r="A55" s="186" t="s">
        <v>546</v>
      </c>
      <c r="B55" s="188"/>
      <c r="C55" s="186"/>
    </row>
    <row r="56" spans="1:3" x14ac:dyDescent="0.15">
      <c r="A56" s="186" t="s">
        <v>547</v>
      </c>
      <c r="B56" s="188"/>
      <c r="C56" s="194">
        <v>14900</v>
      </c>
    </row>
    <row r="57" spans="1:3" x14ac:dyDescent="0.15">
      <c r="A57" s="186" t="s">
        <v>548</v>
      </c>
      <c r="B57" s="188"/>
      <c r="C57" s="194">
        <v>6320</v>
      </c>
    </row>
    <row r="58" spans="1:3" x14ac:dyDescent="0.15">
      <c r="A58" s="186" t="s">
        <v>549</v>
      </c>
      <c r="B58" s="188"/>
      <c r="C58" s="186">
        <v>756</v>
      </c>
    </row>
    <row r="59" spans="1:3" x14ac:dyDescent="0.15">
      <c r="A59" s="186" t="s">
        <v>550</v>
      </c>
      <c r="B59" s="188"/>
      <c r="C59" s="186">
        <v>350</v>
      </c>
    </row>
    <row r="60" spans="1:3" x14ac:dyDescent="0.15">
      <c r="A60" s="186" t="s">
        <v>551</v>
      </c>
      <c r="B60" s="188"/>
      <c r="C60" s="186">
        <v>708</v>
      </c>
    </row>
    <row r="61" spans="1:3" x14ac:dyDescent="0.15">
      <c r="A61" s="186" t="s">
        <v>552</v>
      </c>
      <c r="B61" s="188"/>
      <c r="C61" s="186">
        <v>659</v>
      </c>
    </row>
    <row r="62" spans="1:3" x14ac:dyDescent="0.15">
      <c r="A62" s="186" t="s">
        <v>553</v>
      </c>
      <c r="B62" s="188"/>
      <c r="C62" s="186">
        <v>359</v>
      </c>
    </row>
    <row r="63" spans="1:3" x14ac:dyDescent="0.15">
      <c r="A63" s="186" t="s">
        <v>554</v>
      </c>
      <c r="B63" s="188"/>
      <c r="C63" s="186">
        <v>575</v>
      </c>
    </row>
    <row r="64" spans="1:3" x14ac:dyDescent="0.15">
      <c r="A64" s="186" t="s">
        <v>555</v>
      </c>
      <c r="B64" s="188"/>
      <c r="C64" s="186">
        <v>580</v>
      </c>
    </row>
    <row r="65" spans="1:4" x14ac:dyDescent="0.15">
      <c r="A65" s="186" t="s">
        <v>556</v>
      </c>
      <c r="B65" s="188"/>
      <c r="C65" s="186">
        <v>110</v>
      </c>
    </row>
    <row r="66" spans="1:4" ht="22.5" x14ac:dyDescent="0.15">
      <c r="A66" s="186" t="s">
        <v>557</v>
      </c>
      <c r="B66" s="188"/>
      <c r="C66" s="186">
        <v>297</v>
      </c>
    </row>
    <row r="67" spans="1:4" ht="22.5" x14ac:dyDescent="0.15">
      <c r="A67" s="186" t="s">
        <v>558</v>
      </c>
      <c r="B67" s="188"/>
      <c r="C67" s="186">
        <v>59</v>
      </c>
    </row>
    <row r="68" spans="1:4" ht="22.5" x14ac:dyDescent="0.15">
      <c r="A68" s="186" t="s">
        <v>559</v>
      </c>
      <c r="B68" s="188"/>
      <c r="C68" s="194">
        <v>1870</v>
      </c>
    </row>
    <row r="69" spans="1:4" ht="22.5" x14ac:dyDescent="0.15">
      <c r="A69" s="186" t="s">
        <v>560</v>
      </c>
      <c r="B69" s="188"/>
      <c r="C69" s="194">
        <v>2800</v>
      </c>
    </row>
    <row r="70" spans="1:4" ht="22.5" x14ac:dyDescent="0.15">
      <c r="A70" s="186" t="s">
        <v>561</v>
      </c>
      <c r="B70" s="188"/>
      <c r="C70" s="194">
        <v>1500</v>
      </c>
    </row>
    <row r="71" spans="1:4" x14ac:dyDescent="0.15">
      <c r="A71" s="186" t="s">
        <v>562</v>
      </c>
      <c r="B71" s="188"/>
      <c r="C71" s="186"/>
    </row>
    <row r="72" spans="1:4" x14ac:dyDescent="0.15">
      <c r="A72" s="186" t="s">
        <v>563</v>
      </c>
      <c r="B72" s="188"/>
      <c r="C72" s="194">
        <v>10300</v>
      </c>
    </row>
    <row r="73" spans="1:4" ht="11.25" customHeight="1" x14ac:dyDescent="0.15">
      <c r="A73" s="186" t="s">
        <v>564</v>
      </c>
      <c r="B73" s="188"/>
      <c r="C73" s="186"/>
    </row>
    <row r="74" spans="1:4" x14ac:dyDescent="0.15">
      <c r="A74" s="186" t="s">
        <v>565</v>
      </c>
      <c r="B74" s="188"/>
      <c r="C74" s="186">
        <v>1</v>
      </c>
    </row>
    <row r="75" spans="1:4" x14ac:dyDescent="0.15">
      <c r="A75" s="186" t="s">
        <v>566</v>
      </c>
      <c r="B75" s="188"/>
      <c r="C75" s="186">
        <v>8.6999999999999993</v>
      </c>
    </row>
    <row r="76" spans="1:4" x14ac:dyDescent="0.15">
      <c r="A76" s="186" t="s">
        <v>567</v>
      </c>
      <c r="B76" s="188"/>
      <c r="C76" s="186">
        <v>13</v>
      </c>
    </row>
    <row r="77" spans="1:4" x14ac:dyDescent="0.15">
      <c r="B77" s="174"/>
    </row>
    <row r="78" spans="1:4" x14ac:dyDescent="0.15">
      <c r="A78" s="186" t="s">
        <v>508</v>
      </c>
      <c r="B78" s="921" t="s">
        <v>568</v>
      </c>
      <c r="C78" s="921"/>
      <c r="D78" s="921"/>
    </row>
    <row r="79" spans="1:4" x14ac:dyDescent="0.15">
      <c r="B79" s="174"/>
    </row>
    <row r="80" spans="1:4" x14ac:dyDescent="0.15">
      <c r="B80" s="174"/>
    </row>
    <row r="81" spans="2:2" x14ac:dyDescent="0.15">
      <c r="B81" s="174"/>
    </row>
    <row r="82" spans="2:2" x14ac:dyDescent="0.15">
      <c r="B82" s="174"/>
    </row>
    <row r="83" spans="2:2" x14ac:dyDescent="0.15">
      <c r="B83" s="174"/>
    </row>
    <row r="84" spans="2:2" x14ac:dyDescent="0.15">
      <c r="B84" s="174"/>
    </row>
    <row r="85" spans="2:2" x14ac:dyDescent="0.15">
      <c r="B85" s="174"/>
    </row>
    <row r="86" spans="2:2" x14ac:dyDescent="0.15">
      <c r="B86" s="174"/>
    </row>
    <row r="87" spans="2:2" x14ac:dyDescent="0.15">
      <c r="B87" s="174"/>
    </row>
  </sheetData>
  <sheetProtection selectLockedCells="1"/>
  <mergeCells count="2">
    <mergeCell ref="B78:D78"/>
    <mergeCell ref="G28:I2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Z253"/>
  <sheetViews>
    <sheetView workbookViewId="0">
      <selection activeCell="D21" sqref="D21"/>
    </sheetView>
  </sheetViews>
  <sheetFormatPr defaultColWidth="8.75" defaultRowHeight="11.25" x14ac:dyDescent="0.15"/>
  <cols>
    <col min="1" max="1" width="1.75" style="174" customWidth="1"/>
    <col min="2" max="2" width="3.125" style="174" customWidth="1"/>
    <col min="3" max="3" width="15.125" style="174" customWidth="1"/>
    <col min="4" max="4" width="73.125" style="174" customWidth="1"/>
    <col min="5" max="5" width="3.125" style="174" customWidth="1"/>
    <col min="6" max="6" width="1.75" style="174" customWidth="1"/>
    <col min="7" max="16384" width="8.75" style="174"/>
  </cols>
  <sheetData>
    <row r="1" spans="1:26" x14ac:dyDescent="0.15">
      <c r="A1" s="175"/>
      <c r="B1" s="175"/>
      <c r="C1" s="175"/>
      <c r="D1" s="175"/>
      <c r="E1" s="175"/>
      <c r="F1" s="175"/>
      <c r="H1" s="180"/>
      <c r="I1" s="180"/>
      <c r="J1" s="180"/>
      <c r="K1" s="180"/>
      <c r="L1" s="180"/>
      <c r="M1" s="180"/>
      <c r="N1" s="180"/>
      <c r="O1" s="180"/>
      <c r="P1" s="180"/>
      <c r="Q1" s="180"/>
      <c r="R1" s="180"/>
      <c r="S1" s="180"/>
      <c r="T1" s="180"/>
      <c r="U1" s="180"/>
      <c r="V1" s="180"/>
      <c r="W1" s="180"/>
      <c r="X1" s="180"/>
      <c r="Y1" s="180"/>
      <c r="Z1" s="180"/>
    </row>
    <row r="2" spans="1:26" x14ac:dyDescent="0.15">
      <c r="A2" s="175"/>
      <c r="B2" s="91"/>
      <c r="C2" s="91"/>
      <c r="D2" s="91"/>
      <c r="E2" s="91"/>
      <c r="F2" s="175"/>
      <c r="G2" s="180"/>
      <c r="H2" s="180"/>
      <c r="I2" s="180"/>
      <c r="J2" s="180"/>
      <c r="K2" s="180"/>
      <c r="L2" s="180"/>
      <c r="M2" s="180"/>
      <c r="N2" s="180"/>
      <c r="O2" s="180"/>
      <c r="P2" s="180"/>
      <c r="Q2" s="180"/>
      <c r="R2" s="180"/>
      <c r="S2" s="180"/>
      <c r="T2" s="180"/>
      <c r="U2" s="180"/>
      <c r="V2" s="180"/>
      <c r="W2" s="180"/>
      <c r="X2" s="180"/>
      <c r="Y2" s="180"/>
      <c r="Z2" s="180"/>
    </row>
    <row r="3" spans="1:26" x14ac:dyDescent="0.15">
      <c r="A3" s="175"/>
      <c r="B3" s="91"/>
      <c r="C3" s="34" t="s">
        <v>311</v>
      </c>
      <c r="D3" s="91"/>
      <c r="E3" s="91"/>
      <c r="F3" s="175"/>
      <c r="G3" s="180"/>
      <c r="H3" s="180"/>
      <c r="I3" s="180"/>
      <c r="J3" s="180"/>
      <c r="K3" s="180"/>
      <c r="L3" s="180"/>
      <c r="M3" s="180"/>
      <c r="N3" s="180"/>
      <c r="O3" s="180"/>
      <c r="P3" s="180"/>
      <c r="Q3" s="180"/>
      <c r="R3" s="180"/>
      <c r="S3" s="180"/>
      <c r="T3" s="180"/>
      <c r="U3" s="180"/>
      <c r="V3" s="180"/>
      <c r="W3" s="180"/>
      <c r="X3" s="180"/>
      <c r="Y3" s="180"/>
      <c r="Z3" s="180"/>
    </row>
    <row r="4" spans="1:26" x14ac:dyDescent="0.15">
      <c r="A4" s="175"/>
      <c r="B4" s="91"/>
      <c r="C4" s="176"/>
      <c r="D4" s="176"/>
      <c r="E4" s="91"/>
      <c r="F4" s="175"/>
      <c r="G4" s="180"/>
      <c r="H4" s="180"/>
      <c r="I4" s="180"/>
      <c r="J4" s="180"/>
      <c r="K4" s="180"/>
      <c r="L4" s="180"/>
      <c r="M4" s="180"/>
      <c r="N4" s="180"/>
      <c r="O4" s="180"/>
      <c r="P4" s="180"/>
      <c r="Q4" s="180"/>
      <c r="R4" s="180"/>
      <c r="S4" s="180"/>
      <c r="T4" s="180"/>
      <c r="U4" s="180"/>
      <c r="V4" s="180"/>
      <c r="W4" s="180"/>
      <c r="X4" s="180"/>
      <c r="Y4" s="180"/>
      <c r="Z4" s="180"/>
    </row>
    <row r="5" spans="1:26" ht="34.5" customHeight="1" x14ac:dyDescent="0.15">
      <c r="A5" s="175"/>
      <c r="B5" s="91"/>
      <c r="C5" s="177" t="s">
        <v>312</v>
      </c>
      <c r="D5" s="178" t="s">
        <v>569</v>
      </c>
      <c r="E5" s="91"/>
      <c r="F5" s="175"/>
      <c r="G5" s="180"/>
      <c r="H5" s="180"/>
      <c r="I5" s="180"/>
      <c r="J5" s="180"/>
      <c r="K5" s="180"/>
      <c r="L5" s="180"/>
      <c r="M5" s="180"/>
      <c r="N5" s="180"/>
      <c r="O5" s="180"/>
      <c r="P5" s="180"/>
      <c r="Q5" s="180"/>
      <c r="R5" s="180"/>
      <c r="S5" s="180"/>
      <c r="T5" s="180"/>
      <c r="U5" s="180"/>
      <c r="V5" s="180"/>
      <c r="W5" s="180"/>
      <c r="X5" s="180"/>
      <c r="Y5" s="180"/>
      <c r="Z5" s="180"/>
    </row>
    <row r="6" spans="1:26" ht="45" x14ac:dyDescent="0.15">
      <c r="A6" s="175"/>
      <c r="B6" s="91"/>
      <c r="C6" s="177" t="s">
        <v>411</v>
      </c>
      <c r="D6" s="178" t="s">
        <v>570</v>
      </c>
      <c r="E6" s="91"/>
      <c r="F6" s="175"/>
      <c r="G6" s="180"/>
      <c r="H6" s="180"/>
      <c r="I6" s="180"/>
      <c r="J6" s="180"/>
      <c r="K6" s="180"/>
      <c r="L6" s="180"/>
      <c r="M6" s="180"/>
      <c r="N6" s="180"/>
      <c r="O6" s="180"/>
      <c r="P6" s="180"/>
      <c r="Q6" s="180"/>
      <c r="R6" s="180"/>
      <c r="S6" s="180"/>
      <c r="T6" s="180"/>
      <c r="U6" s="180"/>
      <c r="V6" s="180"/>
      <c r="W6" s="180"/>
      <c r="X6" s="180"/>
      <c r="Y6" s="180"/>
      <c r="Z6" s="180"/>
    </row>
    <row r="7" spans="1:26" ht="33.75" x14ac:dyDescent="0.15">
      <c r="A7" s="175"/>
      <c r="B7" s="91"/>
      <c r="C7" s="177" t="s">
        <v>571</v>
      </c>
      <c r="D7" s="178" t="s">
        <v>572</v>
      </c>
      <c r="E7" s="91"/>
      <c r="F7" s="175"/>
      <c r="G7" s="180"/>
      <c r="H7" s="180"/>
      <c r="I7" s="180"/>
      <c r="J7" s="180"/>
      <c r="K7" s="180"/>
      <c r="L7" s="180"/>
      <c r="M7" s="180"/>
      <c r="N7" s="180"/>
      <c r="O7" s="180"/>
      <c r="P7" s="180"/>
      <c r="Q7" s="180"/>
      <c r="R7" s="180"/>
      <c r="S7" s="180"/>
      <c r="T7" s="180"/>
      <c r="U7" s="180"/>
      <c r="V7" s="180"/>
      <c r="W7" s="180"/>
      <c r="X7" s="180"/>
      <c r="Y7" s="180"/>
      <c r="Z7" s="180"/>
    </row>
    <row r="8" spans="1:26" ht="33.75" x14ac:dyDescent="0.15">
      <c r="A8" s="175"/>
      <c r="B8" s="91"/>
      <c r="C8" s="177" t="s">
        <v>573</v>
      </c>
      <c r="D8" s="178" t="s">
        <v>574</v>
      </c>
      <c r="E8" s="91"/>
      <c r="F8" s="175"/>
      <c r="G8" s="180"/>
      <c r="H8" s="180"/>
      <c r="I8" s="180"/>
      <c r="J8" s="180"/>
      <c r="K8" s="180"/>
      <c r="L8" s="180"/>
      <c r="M8" s="180"/>
      <c r="N8" s="180"/>
      <c r="O8" s="180"/>
      <c r="P8" s="180"/>
      <c r="Q8" s="180"/>
      <c r="R8" s="180"/>
      <c r="S8" s="180"/>
      <c r="T8" s="180"/>
      <c r="U8" s="180"/>
      <c r="V8" s="180"/>
      <c r="W8" s="180"/>
      <c r="X8" s="180"/>
      <c r="Y8" s="180"/>
      <c r="Z8" s="180"/>
    </row>
    <row r="9" spans="1:26" ht="33.75" customHeight="1" x14ac:dyDescent="0.15">
      <c r="A9" s="175"/>
      <c r="B9" s="91"/>
      <c r="C9" s="179" t="s">
        <v>575</v>
      </c>
      <c r="D9" s="173" t="s">
        <v>576</v>
      </c>
      <c r="E9" s="91"/>
      <c r="F9" s="175"/>
      <c r="G9" s="180"/>
      <c r="H9" s="180"/>
      <c r="I9" s="180"/>
      <c r="J9" s="180"/>
      <c r="K9" s="180"/>
      <c r="L9" s="180"/>
      <c r="M9" s="180"/>
      <c r="N9" s="180"/>
      <c r="O9" s="180"/>
      <c r="P9" s="180"/>
      <c r="Q9" s="180"/>
      <c r="R9" s="180"/>
      <c r="S9" s="180"/>
      <c r="T9" s="180"/>
      <c r="U9" s="180"/>
      <c r="V9" s="180"/>
      <c r="W9" s="180"/>
      <c r="X9" s="180"/>
      <c r="Y9" s="180"/>
      <c r="Z9" s="180"/>
    </row>
    <row r="10" spans="1:26" x14ac:dyDescent="0.15">
      <c r="A10" s="175"/>
      <c r="B10" s="91"/>
      <c r="C10" s="91"/>
      <c r="D10" s="91"/>
      <c r="E10" s="91"/>
      <c r="F10" s="175"/>
      <c r="G10" s="180"/>
      <c r="H10" s="180"/>
      <c r="I10" s="180"/>
      <c r="J10" s="180"/>
      <c r="K10" s="180"/>
      <c r="L10" s="180"/>
      <c r="M10" s="180"/>
      <c r="N10" s="180"/>
      <c r="O10" s="180"/>
      <c r="P10" s="180"/>
      <c r="Q10" s="180"/>
      <c r="R10" s="180"/>
      <c r="S10" s="180"/>
      <c r="T10" s="180"/>
      <c r="U10" s="180"/>
      <c r="V10" s="180"/>
      <c r="W10" s="180"/>
      <c r="X10" s="180"/>
      <c r="Y10" s="180"/>
      <c r="Z10" s="180"/>
    </row>
    <row r="11" spans="1:26" x14ac:dyDescent="0.15">
      <c r="A11" s="175"/>
      <c r="B11" s="175"/>
      <c r="C11" s="175"/>
      <c r="D11" s="175"/>
      <c r="E11" s="175"/>
      <c r="F11" s="175"/>
      <c r="G11" s="180"/>
      <c r="H11" s="180"/>
      <c r="I11" s="180"/>
      <c r="J11" s="180"/>
      <c r="K11" s="180"/>
      <c r="L11" s="180"/>
      <c r="M11" s="180"/>
      <c r="N11" s="180"/>
      <c r="O11" s="180"/>
      <c r="P11" s="180"/>
      <c r="Q11" s="180"/>
      <c r="R11" s="180"/>
      <c r="S11" s="180"/>
      <c r="T11" s="180"/>
      <c r="U11" s="180"/>
      <c r="V11" s="180"/>
      <c r="W11" s="180"/>
      <c r="X11" s="180"/>
      <c r="Y11" s="180"/>
      <c r="Z11" s="180"/>
    </row>
    <row r="12" spans="1:26" x14ac:dyDescent="0.15">
      <c r="A12" s="175"/>
      <c r="B12" s="91"/>
      <c r="C12" s="91"/>
      <c r="D12" s="91"/>
      <c r="E12" s="91"/>
      <c r="F12" s="175"/>
      <c r="G12" s="180"/>
      <c r="H12" s="180"/>
      <c r="I12" s="180"/>
      <c r="J12" s="180"/>
      <c r="K12" s="180"/>
      <c r="L12" s="180"/>
      <c r="M12" s="180"/>
      <c r="N12" s="180"/>
      <c r="O12" s="180"/>
      <c r="P12" s="180"/>
      <c r="Q12" s="180"/>
      <c r="R12" s="180"/>
      <c r="S12" s="180"/>
      <c r="T12" s="180"/>
      <c r="U12" s="180"/>
      <c r="V12" s="180"/>
      <c r="W12" s="180"/>
      <c r="X12" s="180"/>
      <c r="Y12" s="180"/>
      <c r="Z12" s="180"/>
    </row>
    <row r="13" spans="1:26" x14ac:dyDescent="0.15">
      <c r="A13" s="175"/>
      <c r="B13" s="91"/>
      <c r="C13" s="923" t="s">
        <v>577</v>
      </c>
      <c r="D13" s="923"/>
      <c r="E13" s="91"/>
      <c r="F13" s="175"/>
      <c r="G13" s="180"/>
      <c r="H13" s="180"/>
      <c r="I13" s="180"/>
      <c r="J13" s="180"/>
      <c r="K13" s="180"/>
      <c r="L13" s="180"/>
      <c r="M13" s="180"/>
      <c r="N13" s="180"/>
      <c r="O13" s="180"/>
      <c r="P13" s="180"/>
      <c r="Q13" s="180"/>
      <c r="R13" s="180"/>
      <c r="S13" s="180"/>
      <c r="T13" s="180"/>
      <c r="U13" s="180"/>
      <c r="V13" s="180"/>
      <c r="W13" s="180"/>
      <c r="X13" s="180"/>
      <c r="Y13" s="180"/>
      <c r="Z13" s="180"/>
    </row>
    <row r="14" spans="1:26" x14ac:dyDescent="0.15">
      <c r="A14" s="175"/>
      <c r="B14" s="91"/>
      <c r="C14" s="923"/>
      <c r="D14" s="923"/>
      <c r="E14" s="91"/>
      <c r="F14" s="175"/>
      <c r="G14" s="180"/>
      <c r="H14" s="180"/>
      <c r="I14" s="180"/>
      <c r="J14" s="180"/>
      <c r="K14" s="180"/>
      <c r="L14" s="180"/>
      <c r="M14" s="180"/>
      <c r="N14" s="180"/>
      <c r="O14" s="180"/>
      <c r="P14" s="180"/>
      <c r="Q14" s="180"/>
      <c r="R14" s="180"/>
      <c r="S14" s="180"/>
      <c r="T14" s="180"/>
      <c r="U14" s="180"/>
      <c r="V14" s="180"/>
      <c r="W14" s="180"/>
      <c r="X14" s="180"/>
      <c r="Y14" s="180"/>
      <c r="Z14" s="180"/>
    </row>
    <row r="15" spans="1:26" x14ac:dyDescent="0.15">
      <c r="A15" s="175"/>
      <c r="B15" s="91"/>
      <c r="C15" s="466"/>
      <c r="D15" s="466"/>
      <c r="E15" s="91"/>
      <c r="F15" s="175"/>
      <c r="G15" s="180"/>
      <c r="H15" s="180"/>
      <c r="I15" s="180"/>
      <c r="J15" s="180"/>
      <c r="K15" s="180"/>
      <c r="L15" s="180"/>
      <c r="M15" s="180"/>
      <c r="N15" s="180"/>
      <c r="O15" s="180"/>
      <c r="P15" s="180"/>
      <c r="Q15" s="180"/>
      <c r="R15" s="180"/>
      <c r="S15" s="180"/>
      <c r="T15" s="180"/>
      <c r="U15" s="180"/>
      <c r="V15" s="180"/>
      <c r="W15" s="180"/>
      <c r="X15" s="180"/>
      <c r="Y15" s="180"/>
      <c r="Z15" s="180"/>
    </row>
    <row r="16" spans="1:26" x14ac:dyDescent="0.15">
      <c r="A16" s="175"/>
      <c r="B16" s="91"/>
      <c r="C16" s="923" t="s">
        <v>578</v>
      </c>
      <c r="D16" s="923"/>
      <c r="E16" s="91"/>
      <c r="F16" s="175"/>
      <c r="G16" s="180"/>
      <c r="H16" s="180"/>
      <c r="I16" s="180"/>
      <c r="J16" s="180"/>
      <c r="K16" s="180"/>
      <c r="L16" s="180"/>
      <c r="M16" s="180"/>
      <c r="N16" s="180"/>
      <c r="O16" s="180"/>
      <c r="P16" s="180"/>
      <c r="Q16" s="180"/>
      <c r="R16" s="180"/>
      <c r="S16" s="180"/>
      <c r="T16" s="180"/>
      <c r="U16" s="180"/>
      <c r="V16" s="180"/>
      <c r="W16" s="180"/>
      <c r="X16" s="180"/>
      <c r="Y16" s="180"/>
      <c r="Z16" s="180"/>
    </row>
    <row r="17" spans="1:26" x14ac:dyDescent="0.15">
      <c r="A17" s="175"/>
      <c r="B17" s="91"/>
      <c r="C17" s="923"/>
      <c r="D17" s="923"/>
      <c r="E17" s="91"/>
      <c r="F17" s="175"/>
      <c r="G17" s="180"/>
      <c r="H17" s="180"/>
      <c r="I17" s="180"/>
      <c r="J17" s="180"/>
      <c r="K17" s="180"/>
      <c r="L17" s="180"/>
      <c r="M17" s="180"/>
      <c r="N17" s="180"/>
      <c r="O17" s="180"/>
      <c r="P17" s="180"/>
      <c r="Q17" s="180"/>
      <c r="R17" s="180"/>
      <c r="S17" s="180"/>
      <c r="T17" s="180"/>
      <c r="U17" s="180"/>
      <c r="V17" s="180"/>
      <c r="W17" s="180"/>
      <c r="X17" s="180"/>
      <c r="Y17" s="180"/>
      <c r="Z17" s="180"/>
    </row>
    <row r="18" spans="1:26" x14ac:dyDescent="0.15">
      <c r="A18" s="175"/>
      <c r="B18" s="91"/>
      <c r="C18" s="91"/>
      <c r="D18" s="91"/>
      <c r="E18" s="91"/>
      <c r="F18" s="175"/>
      <c r="G18" s="180"/>
      <c r="H18" s="180"/>
      <c r="I18" s="180"/>
      <c r="J18" s="180"/>
      <c r="K18" s="180"/>
      <c r="L18" s="180"/>
      <c r="M18" s="180"/>
      <c r="N18" s="180"/>
      <c r="O18" s="180"/>
      <c r="P18" s="180"/>
      <c r="Q18" s="180"/>
      <c r="R18" s="180"/>
      <c r="S18" s="180"/>
      <c r="T18" s="180"/>
      <c r="U18" s="180"/>
      <c r="V18" s="180"/>
      <c r="W18" s="180"/>
      <c r="X18" s="180"/>
      <c r="Y18" s="180"/>
      <c r="Z18" s="180"/>
    </row>
    <row r="19" spans="1:26" x14ac:dyDescent="0.15">
      <c r="A19" s="175"/>
      <c r="B19" s="91"/>
      <c r="C19" s="91" t="s">
        <v>579</v>
      </c>
      <c r="D19" s="91"/>
      <c r="E19" s="91"/>
      <c r="F19" s="175"/>
      <c r="G19" s="180"/>
      <c r="H19" s="180"/>
      <c r="I19" s="180"/>
      <c r="J19" s="180"/>
      <c r="K19" s="180"/>
      <c r="L19" s="180"/>
      <c r="M19" s="180"/>
      <c r="N19" s="180"/>
      <c r="O19" s="180"/>
      <c r="P19" s="180"/>
      <c r="Q19" s="180"/>
      <c r="R19" s="180"/>
      <c r="S19" s="180"/>
      <c r="T19" s="180"/>
      <c r="U19" s="180"/>
      <c r="V19" s="180"/>
      <c r="W19" s="180"/>
      <c r="X19" s="180"/>
      <c r="Y19" s="180"/>
      <c r="Z19" s="180"/>
    </row>
    <row r="20" spans="1:26" x14ac:dyDescent="0.15">
      <c r="A20" s="175"/>
      <c r="B20" s="91"/>
      <c r="C20" s="91" t="s">
        <v>580</v>
      </c>
      <c r="D20" s="91"/>
      <c r="E20" s="91"/>
      <c r="F20" s="175"/>
      <c r="G20" s="180"/>
      <c r="H20" s="180"/>
      <c r="I20" s="180"/>
      <c r="J20" s="180"/>
      <c r="K20" s="180"/>
      <c r="L20" s="180"/>
      <c r="M20" s="180"/>
      <c r="N20" s="180"/>
      <c r="O20" s="180"/>
      <c r="P20" s="180"/>
      <c r="Q20" s="180"/>
      <c r="R20" s="180"/>
      <c r="S20" s="180"/>
      <c r="T20" s="180"/>
      <c r="U20" s="180"/>
      <c r="V20" s="180"/>
      <c r="W20" s="180"/>
      <c r="X20" s="180"/>
      <c r="Y20" s="180"/>
      <c r="Z20" s="180"/>
    </row>
    <row r="21" spans="1:26" x14ac:dyDescent="0.15">
      <c r="A21" s="175"/>
      <c r="B21" s="91"/>
      <c r="C21" s="91" t="s">
        <v>581</v>
      </c>
      <c r="D21" s="91"/>
      <c r="E21" s="91"/>
      <c r="F21" s="175"/>
      <c r="G21" s="180"/>
      <c r="H21" s="180"/>
      <c r="I21" s="180"/>
      <c r="J21" s="180"/>
      <c r="K21" s="180"/>
      <c r="L21" s="180"/>
      <c r="M21" s="180"/>
      <c r="N21" s="180"/>
      <c r="O21" s="180"/>
      <c r="P21" s="180"/>
      <c r="Q21" s="180"/>
      <c r="R21" s="180"/>
      <c r="S21" s="180"/>
      <c r="T21" s="180"/>
      <c r="U21" s="180"/>
      <c r="V21" s="180"/>
      <c r="W21" s="180"/>
      <c r="X21" s="180"/>
      <c r="Y21" s="180"/>
      <c r="Z21" s="180"/>
    </row>
    <row r="22" spans="1:26" x14ac:dyDescent="0.15">
      <c r="A22" s="175"/>
      <c r="B22" s="91"/>
      <c r="C22" s="91" t="s">
        <v>582</v>
      </c>
      <c r="D22" s="91"/>
      <c r="E22" s="91"/>
      <c r="F22" s="175"/>
      <c r="G22" s="180"/>
      <c r="H22" s="180"/>
      <c r="I22" s="180"/>
      <c r="J22" s="180"/>
      <c r="K22" s="180"/>
      <c r="L22" s="180"/>
      <c r="M22" s="180"/>
      <c r="N22" s="180"/>
      <c r="O22" s="180"/>
      <c r="P22" s="180"/>
      <c r="Q22" s="180"/>
      <c r="R22" s="180"/>
      <c r="S22" s="180"/>
      <c r="T22" s="180"/>
      <c r="U22" s="180"/>
      <c r="V22" s="180"/>
      <c r="W22" s="180"/>
      <c r="X22" s="180"/>
      <c r="Y22" s="180"/>
      <c r="Z22" s="180"/>
    </row>
    <row r="23" spans="1:26" x14ac:dyDescent="0.15">
      <c r="A23" s="175"/>
      <c r="B23" s="91"/>
      <c r="C23" s="91"/>
      <c r="D23" s="181"/>
      <c r="E23" s="181" t="s">
        <v>583</v>
      </c>
      <c r="F23" s="175"/>
      <c r="G23" s="180"/>
      <c r="H23" s="180"/>
      <c r="I23" s="180"/>
      <c r="J23" s="180"/>
      <c r="K23" s="180"/>
      <c r="L23" s="180"/>
      <c r="M23" s="180"/>
      <c r="N23" s="180"/>
      <c r="O23" s="180"/>
      <c r="P23" s="180"/>
      <c r="Q23" s="180"/>
      <c r="R23" s="180"/>
      <c r="S23" s="180"/>
      <c r="T23" s="180"/>
      <c r="U23" s="180"/>
      <c r="V23" s="180"/>
      <c r="W23" s="180"/>
      <c r="X23" s="180"/>
      <c r="Y23" s="180"/>
      <c r="Z23" s="180"/>
    </row>
    <row r="24" spans="1:26" x14ac:dyDescent="0.15">
      <c r="A24" s="175"/>
      <c r="B24" s="175"/>
      <c r="C24" s="175"/>
      <c r="D24" s="175"/>
      <c r="E24" s="175"/>
      <c r="F24" s="175"/>
      <c r="G24" s="180"/>
      <c r="H24" s="180"/>
      <c r="I24" s="180"/>
      <c r="J24" s="180"/>
      <c r="K24" s="180"/>
      <c r="L24" s="180"/>
      <c r="M24" s="180"/>
      <c r="N24" s="180"/>
      <c r="O24" s="180"/>
      <c r="P24" s="180"/>
      <c r="Q24" s="180"/>
      <c r="R24" s="180"/>
      <c r="S24" s="180"/>
      <c r="T24" s="180"/>
      <c r="U24" s="180"/>
      <c r="V24" s="180"/>
      <c r="W24" s="180"/>
      <c r="X24" s="180"/>
      <c r="Y24" s="180"/>
      <c r="Z24" s="180"/>
    </row>
    <row r="25" spans="1:26" x14ac:dyDescent="0.15">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row>
    <row r="26" spans="1:26" x14ac:dyDescent="0.15">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row>
    <row r="27" spans="1:26" x14ac:dyDescent="0.15">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row>
    <row r="28" spans="1:26" x14ac:dyDescent="0.15">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row>
    <row r="29" spans="1:26" x14ac:dyDescent="0.15">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row>
    <row r="30" spans="1:26" x14ac:dyDescent="0.15">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row>
    <row r="31" spans="1:26" x14ac:dyDescent="0.15">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row>
    <row r="32" spans="1:26" x14ac:dyDescent="0.15">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row>
    <row r="33" spans="1:26" x14ac:dyDescent="0.15">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row>
    <row r="34" spans="1:26" x14ac:dyDescent="0.15">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row>
    <row r="35" spans="1:26" x14ac:dyDescent="0.15">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row>
    <row r="36" spans="1:26" x14ac:dyDescent="0.15">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row>
    <row r="37" spans="1:26" x14ac:dyDescent="0.15">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row>
    <row r="38" spans="1:26" x14ac:dyDescent="0.15">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row>
    <row r="39" spans="1:26" x14ac:dyDescent="0.15">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row>
    <row r="40" spans="1:26" x14ac:dyDescent="0.15">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row>
    <row r="41" spans="1:26" x14ac:dyDescent="0.15">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row>
    <row r="42" spans="1:26" x14ac:dyDescent="0.15">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row>
    <row r="43" spans="1:26" x14ac:dyDescent="0.15">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row>
    <row r="44" spans="1:26" x14ac:dyDescent="0.15">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row>
    <row r="45" spans="1:26"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spans="1:26" x14ac:dyDescent="0.15">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x14ac:dyDescent="0.15">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spans="1:26" x14ac:dyDescent="0.15">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spans="1:26" x14ac:dyDescent="0.15">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row r="50" spans="1:26" x14ac:dyDescent="0.15">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spans="1:26" x14ac:dyDescent="0.15">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1:26" x14ac:dyDescent="0.15">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row>
    <row r="53" spans="1:26" x14ac:dyDescent="0.15">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row>
    <row r="54" spans="1:26" x14ac:dyDescent="0.15">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spans="1:26" x14ac:dyDescent="0.15">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row>
    <row r="56" spans="1:26" x14ac:dyDescent="0.15">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row>
    <row r="57" spans="1:26" x14ac:dyDescent="0.1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row>
    <row r="58" spans="1:26" x14ac:dyDescent="0.15">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row>
    <row r="59" spans="1:26" x14ac:dyDescent="0.15">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row>
    <row r="60" spans="1:26" x14ac:dyDescent="0.15">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row>
    <row r="61" spans="1:26" x14ac:dyDescent="0.15">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row>
    <row r="62" spans="1:26" x14ac:dyDescent="0.15">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row>
    <row r="63" spans="1:26" x14ac:dyDescent="0.15">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row>
    <row r="64" spans="1:26" x14ac:dyDescent="0.15">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row>
    <row r="65" spans="1:26" x14ac:dyDescent="0.15">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row>
    <row r="66" spans="1:26" x14ac:dyDescent="0.15">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row>
    <row r="67" spans="1:26" x14ac:dyDescent="0.15">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spans="1:26" x14ac:dyDescent="0.15">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row>
    <row r="69" spans="1:26" x14ac:dyDescent="0.15">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row>
    <row r="70" spans="1:26" x14ac:dyDescent="0.15">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row>
    <row r="71" spans="1:26" x14ac:dyDescent="0.15">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row>
    <row r="72" spans="1:26" x14ac:dyDescent="0.15">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row>
    <row r="73" spans="1:26" x14ac:dyDescent="0.15">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row>
    <row r="74" spans="1:26" x14ac:dyDescent="0.15">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row>
    <row r="75" spans="1:26" x14ac:dyDescent="0.15">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row>
    <row r="76" spans="1:26" x14ac:dyDescent="0.15">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row>
    <row r="77" spans="1:26" x14ac:dyDescent="0.15">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row>
    <row r="78" spans="1:26" x14ac:dyDescent="0.15">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row>
    <row r="79" spans="1:26" x14ac:dyDescent="0.15">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row>
    <row r="80" spans="1:26" x14ac:dyDescent="0.15">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row>
    <row r="81" spans="1:26" x14ac:dyDescent="0.15">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row>
    <row r="82" spans="1:26" x14ac:dyDescent="0.15">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row>
    <row r="83" spans="1:26" x14ac:dyDescent="0.15">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row>
    <row r="84" spans="1:26" x14ac:dyDescent="0.15">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row>
    <row r="85" spans="1:26" x14ac:dyDescent="0.15">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row>
    <row r="86" spans="1:26" x14ac:dyDescent="0.15">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row>
    <row r="87" spans="1:26" x14ac:dyDescent="0.15">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row>
    <row r="88" spans="1:26" x14ac:dyDescent="0.15">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row>
    <row r="89" spans="1:26" x14ac:dyDescent="0.15">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row>
    <row r="90" spans="1:26" x14ac:dyDescent="0.15">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row>
    <row r="91" spans="1:26" x14ac:dyDescent="0.15">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row>
    <row r="92" spans="1:26" x14ac:dyDescent="0.15">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row>
    <row r="93" spans="1:26" x14ac:dyDescent="0.15">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row>
    <row r="94" spans="1:26" x14ac:dyDescent="0.15">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row>
    <row r="95" spans="1:26" x14ac:dyDescent="0.15">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row>
    <row r="96" spans="1:26" x14ac:dyDescent="0.15">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row>
    <row r="97" spans="1:26" x14ac:dyDescent="0.15">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row>
    <row r="98" spans="1:26" x14ac:dyDescent="0.15">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row>
    <row r="99" spans="1:26" x14ac:dyDescent="0.15">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row>
    <row r="100" spans="1:26" x14ac:dyDescent="0.15">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row>
    <row r="101" spans="1:26" x14ac:dyDescent="0.15">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row>
    <row r="102" spans="1:26" x14ac:dyDescent="0.15">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row>
    <row r="103" spans="1:26" x14ac:dyDescent="0.15">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row>
    <row r="104" spans="1:26" x14ac:dyDescent="0.15">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row>
    <row r="105" spans="1:26" x14ac:dyDescent="0.15">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row>
    <row r="106" spans="1:26" x14ac:dyDescent="0.15">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row>
    <row r="107" spans="1:26" x14ac:dyDescent="0.15">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row>
    <row r="108" spans="1:26" x14ac:dyDescent="0.15">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row>
    <row r="109" spans="1:26" x14ac:dyDescent="0.15">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row>
    <row r="110" spans="1:26" x14ac:dyDescent="0.15">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row>
    <row r="111" spans="1:26" x14ac:dyDescent="0.15">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row>
    <row r="112" spans="1:26" x14ac:dyDescent="0.15">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row>
    <row r="113" spans="1:26" x14ac:dyDescent="0.15">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row>
    <row r="114" spans="1:26" x14ac:dyDescent="0.15">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row>
    <row r="115" spans="1:26" x14ac:dyDescent="0.15">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row>
    <row r="116" spans="1:26" x14ac:dyDescent="0.15">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row>
    <row r="117" spans="1:26" x14ac:dyDescent="0.15">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row>
    <row r="118" spans="1:26" x14ac:dyDescent="0.15">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row>
    <row r="119" spans="1:26" x14ac:dyDescent="0.15">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row>
    <row r="120" spans="1:26" x14ac:dyDescent="0.15">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row>
    <row r="121" spans="1:26" x14ac:dyDescent="0.15">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row>
    <row r="122" spans="1:26" x14ac:dyDescent="0.15">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row>
    <row r="123" spans="1:26" x14ac:dyDescent="0.15">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row>
    <row r="124" spans="1:26" x14ac:dyDescent="0.15">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row>
    <row r="125" spans="1:26" x14ac:dyDescent="0.15">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row>
    <row r="126" spans="1:26" x14ac:dyDescent="0.15">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row>
    <row r="127" spans="1:26" x14ac:dyDescent="0.15">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row>
    <row r="128" spans="1:26" x14ac:dyDescent="0.15">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row>
    <row r="129" spans="1:26" x14ac:dyDescent="0.15">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row>
    <row r="130" spans="1:26" x14ac:dyDescent="0.15">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row>
    <row r="131" spans="1:26" x14ac:dyDescent="0.15">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row>
    <row r="132" spans="1:26" x14ac:dyDescent="0.15">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row>
    <row r="133" spans="1:26" x14ac:dyDescent="0.15">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row>
    <row r="134" spans="1:26" x14ac:dyDescent="0.15">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row>
    <row r="135" spans="1:26" x14ac:dyDescent="0.15">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row>
    <row r="136" spans="1:26" x14ac:dyDescent="0.15">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row>
    <row r="137" spans="1:26" x14ac:dyDescent="0.15">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row>
    <row r="138" spans="1:26" x14ac:dyDescent="0.15">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row>
    <row r="139" spans="1:26" x14ac:dyDescent="0.15">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row>
    <row r="140" spans="1:26" x14ac:dyDescent="0.15">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row>
    <row r="141" spans="1:26" x14ac:dyDescent="0.15">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row>
    <row r="142" spans="1:26" x14ac:dyDescent="0.15">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row>
    <row r="143" spans="1:26" x14ac:dyDescent="0.15">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row>
    <row r="144" spans="1:26" x14ac:dyDescent="0.15">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row>
    <row r="145" spans="1:26" x14ac:dyDescent="0.15">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row>
    <row r="146" spans="1:26" x14ac:dyDescent="0.15">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row>
    <row r="147" spans="1:26" x14ac:dyDescent="0.15">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row>
    <row r="148" spans="1:26" x14ac:dyDescent="0.15">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row>
    <row r="149" spans="1:26" x14ac:dyDescent="0.15">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row>
    <row r="150" spans="1:26" x14ac:dyDescent="0.15">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row>
    <row r="151" spans="1:26" x14ac:dyDescent="0.15">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row>
    <row r="152" spans="1:26" x14ac:dyDescent="0.15">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row>
    <row r="153" spans="1:26" x14ac:dyDescent="0.15">
      <c r="A153" s="180"/>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row>
    <row r="154" spans="1:26" x14ac:dyDescent="0.15">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row>
    <row r="155" spans="1:26" x14ac:dyDescent="0.15">
      <c r="A155" s="180"/>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row>
    <row r="156" spans="1:26" x14ac:dyDescent="0.15">
      <c r="A156" s="180"/>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row>
    <row r="157" spans="1:26" x14ac:dyDescent="0.15">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row>
    <row r="158" spans="1:26" x14ac:dyDescent="0.15">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row>
    <row r="159" spans="1:26" x14ac:dyDescent="0.15">
      <c r="A159" s="180"/>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row>
    <row r="160" spans="1:26" x14ac:dyDescent="0.15">
      <c r="A160" s="180"/>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row>
    <row r="161" spans="1:26" x14ac:dyDescent="0.15">
      <c r="A161" s="180"/>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row>
    <row r="162" spans="1:26" x14ac:dyDescent="0.15">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row>
    <row r="163" spans="1:26" x14ac:dyDescent="0.15">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row>
    <row r="164" spans="1:26" x14ac:dyDescent="0.15">
      <c r="A164" s="180"/>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row>
    <row r="165" spans="1:26" x14ac:dyDescent="0.15">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row>
    <row r="166" spans="1:26" x14ac:dyDescent="0.15">
      <c r="A166" s="180"/>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row>
    <row r="167" spans="1:26" x14ac:dyDescent="0.15">
      <c r="A167" s="180"/>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row>
    <row r="168" spans="1:26" x14ac:dyDescent="0.15">
      <c r="A168" s="180"/>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row>
    <row r="169" spans="1:26" x14ac:dyDescent="0.15">
      <c r="A169" s="180"/>
      <c r="B169" s="180"/>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row>
    <row r="170" spans="1:26" x14ac:dyDescent="0.15">
      <c r="A170" s="180"/>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row>
    <row r="171" spans="1:26" x14ac:dyDescent="0.15">
      <c r="A171" s="180"/>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row>
    <row r="172" spans="1:26" x14ac:dyDescent="0.15">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row>
    <row r="173" spans="1:26" x14ac:dyDescent="0.15">
      <c r="A173" s="180"/>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row>
    <row r="174" spans="1:26" x14ac:dyDescent="0.15">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row>
    <row r="175" spans="1:26" x14ac:dyDescent="0.15">
      <c r="A175" s="180"/>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row>
    <row r="176" spans="1:26" x14ac:dyDescent="0.15">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row>
    <row r="177" spans="1:26" x14ac:dyDescent="0.15">
      <c r="A177" s="180"/>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row>
    <row r="178" spans="1:26" x14ac:dyDescent="0.15">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row>
    <row r="179" spans="1:26" x14ac:dyDescent="0.15">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row>
    <row r="180" spans="1:26" x14ac:dyDescent="0.15">
      <c r="A180" s="180"/>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row>
    <row r="181" spans="1:26" x14ac:dyDescent="0.15">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row>
    <row r="182" spans="1:26" x14ac:dyDescent="0.15">
      <c r="A182" s="180"/>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row>
    <row r="183" spans="1:26" x14ac:dyDescent="0.15">
      <c r="A183" s="180"/>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row>
    <row r="184" spans="1:26" x14ac:dyDescent="0.15">
      <c r="A184" s="180"/>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row>
    <row r="185" spans="1:26" x14ac:dyDescent="0.15">
      <c r="A185" s="180"/>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row>
    <row r="186" spans="1:26" x14ac:dyDescent="0.15">
      <c r="A186" s="180"/>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row>
    <row r="187" spans="1:26" x14ac:dyDescent="0.15">
      <c r="A187" s="180"/>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row>
    <row r="188" spans="1:26" x14ac:dyDescent="0.15">
      <c r="A188" s="180"/>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row>
    <row r="189" spans="1:26" x14ac:dyDescent="0.15">
      <c r="A189" s="180"/>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row>
    <row r="190" spans="1:26" x14ac:dyDescent="0.15">
      <c r="A190" s="180"/>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row>
    <row r="191" spans="1:26" x14ac:dyDescent="0.15">
      <c r="A191" s="180"/>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row>
    <row r="192" spans="1:26" x14ac:dyDescent="0.15">
      <c r="A192" s="180"/>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row>
    <row r="193" spans="1:26" x14ac:dyDescent="0.15">
      <c r="A193" s="180"/>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row>
    <row r="194" spans="1:26" x14ac:dyDescent="0.15">
      <c r="A194" s="180"/>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row>
    <row r="195" spans="1:26" x14ac:dyDescent="0.15">
      <c r="A195" s="180"/>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row>
    <row r="196" spans="1:26" x14ac:dyDescent="0.15">
      <c r="A196" s="180"/>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row>
    <row r="197" spans="1:26" x14ac:dyDescent="0.15">
      <c r="A197" s="180"/>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row>
    <row r="198" spans="1:26" x14ac:dyDescent="0.15">
      <c r="A198" s="180"/>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row>
    <row r="199" spans="1:26" x14ac:dyDescent="0.15">
      <c r="A199" s="180"/>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row>
    <row r="200" spans="1:26" x14ac:dyDescent="0.15">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row>
    <row r="201" spans="1:26" x14ac:dyDescent="0.15">
      <c r="A201" s="180"/>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row>
    <row r="202" spans="1:26" x14ac:dyDescent="0.15">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row>
    <row r="203" spans="1:26" x14ac:dyDescent="0.15">
      <c r="A203" s="180"/>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row>
    <row r="204" spans="1:26" x14ac:dyDescent="0.15">
      <c r="A204" s="180"/>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row>
    <row r="205" spans="1:26" x14ac:dyDescent="0.15">
      <c r="A205" s="180"/>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row>
    <row r="206" spans="1:26" x14ac:dyDescent="0.15">
      <c r="A206" s="180"/>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row>
    <row r="207" spans="1:26" x14ac:dyDescent="0.15">
      <c r="A207" s="180"/>
      <c r="B207" s="180"/>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row>
    <row r="208" spans="1:26" x14ac:dyDescent="0.15">
      <c r="A208" s="180"/>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row>
    <row r="209" spans="1:26" x14ac:dyDescent="0.15">
      <c r="A209" s="180"/>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row>
    <row r="210" spans="1:26" x14ac:dyDescent="0.15">
      <c r="A210" s="180"/>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row>
    <row r="211" spans="1:26" x14ac:dyDescent="0.15">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row>
    <row r="212" spans="1:26" x14ac:dyDescent="0.15">
      <c r="A212" s="180"/>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row>
    <row r="213" spans="1:26" x14ac:dyDescent="0.15">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row>
    <row r="214" spans="1:26" x14ac:dyDescent="0.15">
      <c r="A214" s="180"/>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row>
    <row r="215" spans="1:26" x14ac:dyDescent="0.15">
      <c r="A215" s="180"/>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row>
    <row r="216" spans="1:26" x14ac:dyDescent="0.15">
      <c r="A216" s="180"/>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row>
    <row r="217" spans="1:26" x14ac:dyDescent="0.15">
      <c r="A217" s="180"/>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row>
    <row r="218" spans="1:26" x14ac:dyDescent="0.15">
      <c r="A218" s="180"/>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row>
    <row r="219" spans="1:26" x14ac:dyDescent="0.15">
      <c r="A219" s="180"/>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row>
    <row r="220" spans="1:26" x14ac:dyDescent="0.15">
      <c r="A220" s="180"/>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row>
    <row r="221" spans="1:26" x14ac:dyDescent="0.15">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row>
    <row r="222" spans="1:26" x14ac:dyDescent="0.15">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row>
    <row r="223" spans="1:26" x14ac:dyDescent="0.15">
      <c r="A223" s="180"/>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row>
    <row r="224" spans="1:26" x14ac:dyDescent="0.15">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row>
    <row r="225" spans="1:26" x14ac:dyDescent="0.15">
      <c r="A225" s="180"/>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row>
    <row r="226" spans="1:26" x14ac:dyDescent="0.15">
      <c r="A226" s="180"/>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row>
    <row r="227" spans="1:26" x14ac:dyDescent="0.15">
      <c r="A227" s="180"/>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row>
    <row r="228" spans="1:26" x14ac:dyDescent="0.15">
      <c r="A228" s="180"/>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row>
    <row r="229" spans="1:26" x14ac:dyDescent="0.15">
      <c r="A229" s="180"/>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row>
    <row r="230" spans="1:26" x14ac:dyDescent="0.15">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row>
    <row r="231" spans="1:26" x14ac:dyDescent="0.15">
      <c r="A231" s="180"/>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row>
    <row r="232" spans="1:26" x14ac:dyDescent="0.15">
      <c r="A232" s="180"/>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row>
    <row r="233" spans="1:26" x14ac:dyDescent="0.15">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row>
    <row r="234" spans="1:26" x14ac:dyDescent="0.15">
      <c r="A234" s="180"/>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row>
    <row r="235" spans="1:26" x14ac:dyDescent="0.15">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row>
    <row r="236" spans="1:26" x14ac:dyDescent="0.15">
      <c r="A236" s="180"/>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row>
    <row r="237" spans="1:26" x14ac:dyDescent="0.15">
      <c r="A237" s="180"/>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row>
    <row r="238" spans="1:26" x14ac:dyDescent="0.15">
      <c r="A238" s="180"/>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row>
    <row r="239" spans="1:26" x14ac:dyDescent="0.15">
      <c r="A239" s="180"/>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row>
    <row r="240" spans="1:26" x14ac:dyDescent="0.15">
      <c r="A240" s="180"/>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row>
    <row r="241" spans="1:26" x14ac:dyDescent="0.15">
      <c r="A241" s="180"/>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row>
    <row r="242" spans="1:26" x14ac:dyDescent="0.15">
      <c r="A242" s="180"/>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row>
    <row r="243" spans="1:26" x14ac:dyDescent="0.15">
      <c r="A243" s="180"/>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row>
    <row r="244" spans="1:26" x14ac:dyDescent="0.15">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row>
    <row r="245" spans="1:26" x14ac:dyDescent="0.15">
      <c r="A245" s="180"/>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row>
    <row r="246" spans="1:26" x14ac:dyDescent="0.15">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row>
    <row r="247" spans="1:26" x14ac:dyDescent="0.15">
      <c r="A247" s="180"/>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row>
    <row r="248" spans="1:26" x14ac:dyDescent="0.15">
      <c r="A248" s="180"/>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row>
    <row r="249" spans="1:26" x14ac:dyDescent="0.15">
      <c r="A249" s="180"/>
      <c r="B249" s="180"/>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row>
    <row r="250" spans="1:26" x14ac:dyDescent="0.15">
      <c r="A250" s="180"/>
      <c r="B250" s="180"/>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row>
    <row r="251" spans="1:26" x14ac:dyDescent="0.15">
      <c r="A251" s="180"/>
      <c r="B251" s="180"/>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row>
    <row r="252" spans="1:26" x14ac:dyDescent="0.15">
      <c r="A252" s="180"/>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row>
    <row r="253" spans="1:26" x14ac:dyDescent="0.15">
      <c r="A253" s="180"/>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row>
  </sheetData>
  <sheetProtection algorithmName="SHA-512" hashValue="yw86SDqrUNMFD1qXZHgozrIHmbsOMF7wTdW0bif18yHMPVQJ0vLlI7WObikBgBhxoW+6UH+JI7cBuX5/FhtPBA==" saltValue="5GCeIyckHPb9qUmTDCUlHw==" spinCount="100000" sheet="1" objects="1" scenarios="1"/>
  <mergeCells count="2">
    <mergeCell ref="C13:D14"/>
    <mergeCell ref="C16:D17"/>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B5EC5F424DF0438C02C794499518FB" ma:contentTypeVersion="0" ma:contentTypeDescription="Create a new document." ma:contentTypeScope="" ma:versionID="5ab65c60870f55e49362d4efb7fd413f">
  <xsd:schema xmlns:xsd="http://www.w3.org/2001/XMLSchema" xmlns:xs="http://www.w3.org/2001/XMLSchema" xmlns:p="http://schemas.microsoft.com/office/2006/metadata/properties" targetNamespace="http://schemas.microsoft.com/office/2006/metadata/properties" ma:root="true" ma:fieldsID="62ea347ee6c5493b9e14b1c149bab3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D9D835-7DC3-4A33-A086-5E88A565AC65}">
  <ds:schemaRef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42ABA4AE-BA99-44D2-8EB4-BF945FCA0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B06AB3-C00C-40F6-9631-E63199F87D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10</vt:i4>
      </vt:variant>
    </vt:vector>
  </HeadingPairs>
  <TitlesOfParts>
    <vt:vector size="20" baseType="lpstr">
      <vt:lpstr>Diplom</vt:lpstr>
      <vt:lpstr>Instrukser</vt:lpstr>
      <vt:lpstr>Effektmåling</vt:lpstr>
      <vt:lpstr>Egne Materialer</vt:lpstr>
      <vt:lpstr>DB materialer</vt:lpstr>
      <vt:lpstr>DB energi</vt:lpstr>
      <vt:lpstr>Dropdowns</vt:lpstr>
      <vt:lpstr>Processrelaterede udledninger</vt:lpstr>
      <vt:lpstr>Kilder</vt:lpstr>
      <vt:lpstr>Enhedskonvertering</vt:lpstr>
      <vt:lpstr>dropdown_aendring_bortskaffelse</vt:lpstr>
      <vt:lpstr>dropdown_beregning</vt:lpstr>
      <vt:lpstr>dropdown_energi</vt:lpstr>
      <vt:lpstr>dropdown_land</vt:lpstr>
      <vt:lpstr>dropdown_materialer</vt:lpstr>
      <vt:lpstr>dropdown_medregn</vt:lpstr>
      <vt:lpstr>dropdown_aar</vt:lpstr>
      <vt:lpstr>Diplom!Udskriftsområde</vt:lpstr>
      <vt:lpstr>Effektmåling!Udskriftsområde</vt:lpstr>
      <vt:lpstr>Instrukser!Udskriftsområde</vt:lpstr>
    </vt:vector>
  </TitlesOfParts>
  <Manager/>
  <Company>DTU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4.1 a Effektskema</dc:title>
  <dc:subject/>
  <dc:creator>Teunis Johannes Dijkman</dc:creator>
  <cp:keywords/>
  <dc:description/>
  <cp:lastModifiedBy>Bente Lomborg</cp:lastModifiedBy>
  <cp:revision/>
  <dcterms:created xsi:type="dcterms:W3CDTF">2016-06-14T09:45:07Z</dcterms:created>
  <dcterms:modified xsi:type="dcterms:W3CDTF">2021-01-13T07:08:10Z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0x010100C4B5EC5F424DF0438C02C794499518FB</vt:lpwstr>
  </property>
  <property fmtid="{D5CDD505-2E9C-101B-9397-08002B2CF9AE}" pid="3" name="_NewReviewCycle">
    <vt:lpwstr/>
  </property>
</Properties>
</file>